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R:\PRIRUCKY A USMERNENIA\U_NKB_5_2019_formulare\"/>
    </mc:Choice>
  </mc:AlternateContent>
  <bookViews>
    <workbookView xWindow="120" yWindow="552" windowWidth="19020" windowHeight="10332"/>
  </bookViews>
  <sheets>
    <sheet name="PSP" sheetId="9" r:id="rId1"/>
    <sheet name="ZUD" sheetId="1" r:id="rId2"/>
    <sheet name="ROZPOCET" sheetId="8" r:id="rId3"/>
    <sheet name="ROZDELENIE" sheetId="13" r:id="rId4"/>
    <sheet name="DATA" sheetId="6" state="hidden" r:id="rId5"/>
    <sheet name="INKIND" sheetId="12" state="hidden" r:id="rId6"/>
  </sheets>
  <definedNames>
    <definedName name="activities">DATA!$E$3:$E$11</definedName>
    <definedName name="Activity1_Name">PSP!$E$698</definedName>
    <definedName name="Activity1_Title">ROZDELENIE!$B$3</definedName>
    <definedName name="Activity2_Name">PSP!$E$706</definedName>
    <definedName name="Activity2_Title">ROZDELENIE!$B$4</definedName>
    <definedName name="Activity3_Name">PSP!$E$714</definedName>
    <definedName name="Activity3_Title">ROZDELENIE!$B$5</definedName>
    <definedName name="Activity4_Name">PSP!$E$722</definedName>
    <definedName name="Activity4_Title">ROZDELENIE!$B$6</definedName>
    <definedName name="Activity5_Name">PSP!$E$730</definedName>
    <definedName name="Activity5_Title">ROZDELENIE!$B$7</definedName>
    <definedName name="Activity6_Name">PSP!$E$738</definedName>
    <definedName name="Activity6_Title">ROZDELENIE!$B$8</definedName>
    <definedName name="Activity7_Name">PSP!$E$746</definedName>
    <definedName name="Activity7_Title">ROZDELENIE!$B$9</definedName>
    <definedName name="Activity8_Name">PSP!$E$754</definedName>
    <definedName name="Activity8_Title">ROZDELENIE!$B$10</definedName>
    <definedName name="advance_payment_date">PSP!$E$57</definedName>
    <definedName name="advance_payment_partner1">PSP!$G$57</definedName>
    <definedName name="advance_payment_partner2">PSP!$H$57</definedName>
    <definedName name="advance_payment_partner3">PSP!$I$57</definedName>
    <definedName name="advance_payment_partner4">PSP!$J$57</definedName>
    <definedName name="advance_payment_promoter">PSP!$F$57</definedName>
    <definedName name="advance_payment_total">PSP!$K$57</definedName>
    <definedName name="advance_percentage">PSP!$F$196</definedName>
    <definedName name="antidiscrimination_contribution">PSP!$F$972</definedName>
    <definedName name="antidiscrimination_remarks">PSP!$H$972</definedName>
    <definedName name="applicant_name">PSP!$F$7</definedName>
    <definedName name="bilateral_indicator_baseline1">PSP!$H$476</definedName>
    <definedName name="bilateral_indicator_baseline2">PSP!$H$489</definedName>
    <definedName name="bilateral_indicator_baseline3">PSP!$H$502</definedName>
    <definedName name="bilateral_indicator_baseline4">PSP!$H$515</definedName>
    <definedName name="bilateral_indicator_baseline5">PSP!$H$528</definedName>
    <definedName name="bilateral_indicator_baseline6">PSP!$H$541</definedName>
    <definedName name="bilateral_indicator_baseline7">PSP!$H$554</definedName>
    <definedName name="bilateral_indicator_baseline8">PSP!$H$567</definedName>
    <definedName name="bilateral_indicator_code1">PSP!$M$476</definedName>
    <definedName name="bilateral_indicator_code2">PSP!$M$489</definedName>
    <definedName name="bilateral_indicator_code3">PSP!$M$502</definedName>
    <definedName name="bilateral_indicator_code4">PSP!$M$515</definedName>
    <definedName name="bilateral_indicator_code5">PSP!$M$528</definedName>
    <definedName name="bilateral_indicator_code6">PSP!$M$541</definedName>
    <definedName name="bilateral_indicator_code7">PSP!$M$554</definedName>
    <definedName name="bilateral_indicator_code8">PSP!$M$567</definedName>
    <definedName name="bilateral_indicator_current_value1">PSP!$J$476</definedName>
    <definedName name="bilateral_indicator_current_value2">PSP!$J$489</definedName>
    <definedName name="bilateral_indicator_current_value3">PSP!$J$502</definedName>
    <definedName name="bilateral_indicator_current_value4">PSP!$J$515</definedName>
    <definedName name="bilateral_indicator_current_value5">PSP!$J$528</definedName>
    <definedName name="bilateral_indicator_current_value6">PSP!$J$541</definedName>
    <definedName name="bilateral_indicator_current_value7">PSP!$J$554</definedName>
    <definedName name="bilateral_indicator_current_value8">PSP!$J$567</definedName>
    <definedName name="bilateral_indicator_level1">PSP!$G$476</definedName>
    <definedName name="bilateral_indicator_level2">PSP!$G$489</definedName>
    <definedName name="bilateral_indicator_level3">PSP!$G$502</definedName>
    <definedName name="bilateral_indicator_level4">PSP!$G$515</definedName>
    <definedName name="bilateral_indicator_level5">PSP!$G$528</definedName>
    <definedName name="bilateral_indicator_level6">PSP!$G$541</definedName>
    <definedName name="bilateral_indicator_level7">PSP!$G$554</definedName>
    <definedName name="bilateral_indicator_level8">PSP!$G$567</definedName>
    <definedName name="bilateral_indicator_measurement1">PSP!$K$476</definedName>
    <definedName name="bilateral_indicator_measurement2">PSP!$K$489</definedName>
    <definedName name="bilateral_indicator_measurement3">PSP!$K$502</definedName>
    <definedName name="bilateral_indicator_measurement4">PSP!$K$515</definedName>
    <definedName name="bilateral_indicator_measurement5">PSP!$K$528</definedName>
    <definedName name="bilateral_indicator_measurement6">PSP!$K$541</definedName>
    <definedName name="bilateral_indicator_measurement7">PSP!$K$554</definedName>
    <definedName name="bilateral_indicator_measurement8">PSP!$K$567</definedName>
    <definedName name="bilateral_indicator_target1">PSP!$I$476</definedName>
    <definedName name="bilateral_indicator_target2">PSP!$I$489</definedName>
    <definedName name="bilateral_indicator_target3">PSP!$I$502</definedName>
    <definedName name="bilateral_indicator_target4">PSP!$I$515</definedName>
    <definedName name="bilateral_indicator_target5">PSP!$I$528</definedName>
    <definedName name="bilateral_indicator_target6">PSP!$I$541</definedName>
    <definedName name="bilateral_indicator_target7">PSP!$I$554</definedName>
    <definedName name="bilateral_indicator_target8">PSP!$I$567</definedName>
    <definedName name="bilateral_indicator_type1">PSP!$F$476</definedName>
    <definedName name="bilateral_indicator_type2">PSP!$F$489</definedName>
    <definedName name="bilateral_indicator_type3">PSP!$F$502</definedName>
    <definedName name="bilateral_indicator_type4">PSP!$F$515</definedName>
    <definedName name="bilateral_indicator_type5">PSP!$F$528</definedName>
    <definedName name="bilateral_indicator_type6">PSP!$F$541</definedName>
    <definedName name="bilateral_indicator_type7">PSP!$F$554</definedName>
    <definedName name="bilateral_indicator_type8">PSP!$F$567</definedName>
    <definedName name="bilateral_indicator1">PSP!$C$476</definedName>
    <definedName name="bilateral_indicator1_disag_type1">PSP!$I$477</definedName>
    <definedName name="bilateral_indicator1_disag_type10">PSP!$I$486</definedName>
    <definedName name="bilateral_indicator1_disag_type11">PSP!$I$487</definedName>
    <definedName name="bilateral_indicator1_disag_type12">PSP!$I$488</definedName>
    <definedName name="bilateral_indicator1_disag_type2">PSP!$I$478</definedName>
    <definedName name="bilateral_indicator1_disag_type3">PSP!$I$479</definedName>
    <definedName name="bilateral_indicator1_disag_type4">PSP!$I$480</definedName>
    <definedName name="bilateral_indicator1_disag_type5">PSP!$I$481</definedName>
    <definedName name="bilateral_indicator1_disag_type6">PSP!$I$482</definedName>
    <definedName name="bilateral_indicator1_disag_type7">PSP!$I$483</definedName>
    <definedName name="bilateral_indicator1_disag_type8">PSP!$I$484</definedName>
    <definedName name="bilateral_indicator1_disag_type9">PSP!$I$485</definedName>
    <definedName name="bilateral_indicator1_disag_value1">PSP!$J$477</definedName>
    <definedName name="bilateral_indicator1_disag_value10">PSP!$J$486</definedName>
    <definedName name="bilateral_indicator1_disag_value11">PSP!$J$487</definedName>
    <definedName name="bilateral_indicator1_disag_value12">PSP!$J$488</definedName>
    <definedName name="bilateral_indicator1_disag_value2">PSP!$J$478</definedName>
    <definedName name="bilateral_indicator1_disag_value3">PSP!$J$479</definedName>
    <definedName name="bilateral_indicator1_disag_value4">PSP!$J$480</definedName>
    <definedName name="bilateral_indicator1_disag_value5">PSP!$J$481</definedName>
    <definedName name="bilateral_indicator1_disag_value6">PSP!$J$482</definedName>
    <definedName name="bilateral_indicator1_disag_value7">PSP!$J$483</definedName>
    <definedName name="bilateral_indicator1_disag_value8">PSP!$J$484</definedName>
    <definedName name="bilateral_indicator1_disag_value9">PSP!$J$485</definedName>
    <definedName name="bilateral_indicator2">PSP!$C$489</definedName>
    <definedName name="bilateral_indicator2_disag_type1">PSP!$I$490</definedName>
    <definedName name="bilateral_indicator2_disag_type10">PSP!$I$499</definedName>
    <definedName name="bilateral_indicator2_disag_type11">PSP!$I$500</definedName>
    <definedName name="bilateral_indicator2_disag_type12">PSP!$I$501</definedName>
    <definedName name="bilateral_indicator2_disag_type2">PSP!$I$491</definedName>
    <definedName name="bilateral_indicator2_disag_type3">PSP!$I$492</definedName>
    <definedName name="bilateral_indicator2_disag_type4">PSP!$I$493</definedName>
    <definedName name="bilateral_indicator2_disag_type5">PSP!$I$494</definedName>
    <definedName name="bilateral_indicator2_disag_type6">PSP!$I$495</definedName>
    <definedName name="bilateral_indicator2_disag_type7">PSP!$I$496</definedName>
    <definedName name="bilateral_indicator2_disag_type8">PSP!$I$497</definedName>
    <definedName name="bilateral_indicator2_disag_type9">PSP!$I$498</definedName>
    <definedName name="bilateral_indicator2_disag_value1">PSP!$J$490</definedName>
    <definedName name="bilateral_indicator2_disag_value10">PSP!$J$499</definedName>
    <definedName name="bilateral_indicator2_disag_value11">PSP!$J$500</definedName>
    <definedName name="bilateral_indicator2_disag_value12">PSP!$J$501</definedName>
    <definedName name="bilateral_indicator2_disag_value2">PSP!$J$491</definedName>
    <definedName name="bilateral_indicator2_disag_value3">PSP!$J$492</definedName>
    <definedName name="bilateral_indicator2_disag_value4">PSP!$J$493</definedName>
    <definedName name="bilateral_indicator2_disag_value5">PSP!$J$494</definedName>
    <definedName name="bilateral_indicator2_disag_value6">PSP!$J$495</definedName>
    <definedName name="bilateral_indicator2_disag_value7">PSP!$J$496</definedName>
    <definedName name="bilateral_indicator2_disag_value8">PSP!$J$497</definedName>
    <definedName name="bilateral_indicator2_disag_value9">PSP!$J$498</definedName>
    <definedName name="bilateral_indicator3">PSP!$C$502</definedName>
    <definedName name="bilateral_indicator3_disag_type1">PSP!$I$503</definedName>
    <definedName name="bilateral_indicator3_disag_type10">PSP!$I$512</definedName>
    <definedName name="bilateral_indicator3_disag_type11">PSP!$I$513</definedName>
    <definedName name="bilateral_indicator3_disag_type12">PSP!$I$514</definedName>
    <definedName name="bilateral_indicator3_disag_type2">PSP!$I$504</definedName>
    <definedName name="bilateral_indicator3_disag_type3">PSP!$I$505</definedName>
    <definedName name="bilateral_indicator3_disag_type4">PSP!$I$506</definedName>
    <definedName name="bilateral_indicator3_disag_type5">PSP!$I$507</definedName>
    <definedName name="bilateral_indicator3_disag_type6">PSP!$I$508</definedName>
    <definedName name="bilateral_indicator3_disag_type7">PSP!$I$509</definedName>
    <definedName name="bilateral_indicator3_disag_type8">PSP!$I$510</definedName>
    <definedName name="bilateral_indicator3_disag_type9">PSP!$I$511</definedName>
    <definedName name="bilateral_indicator3_disag_value1">PSP!$J$503</definedName>
    <definedName name="bilateral_indicator3_disag_value10">PSP!$J$512</definedName>
    <definedName name="bilateral_indicator3_disag_value11">PSP!$J$513</definedName>
    <definedName name="bilateral_indicator3_disag_value12">PSP!$J$514</definedName>
    <definedName name="bilateral_indicator3_disag_value2">PSP!$J$504</definedName>
    <definedName name="bilateral_indicator3_disag_value3">PSP!$J$505</definedName>
    <definedName name="bilateral_indicator3_disag_value4">PSP!$J$506</definedName>
    <definedName name="bilateral_indicator3_disag_value5">PSP!$J$507</definedName>
    <definedName name="bilateral_indicator3_disag_value6">PSP!$J$508</definedName>
    <definedName name="bilateral_indicator3_disag_value7">PSP!$J$509</definedName>
    <definedName name="bilateral_indicator3_disag_value8">PSP!$J$510</definedName>
    <definedName name="bilateral_indicator3_disag_value9">PSP!$J$511</definedName>
    <definedName name="bilateral_indicator4">PSP!$C$515</definedName>
    <definedName name="bilateral_indicator4_disag_type1">PSP!$I$516</definedName>
    <definedName name="bilateral_indicator4_disag_type10">PSP!$I$525</definedName>
    <definedName name="bilateral_indicator4_disag_type11">PSP!$I$526</definedName>
    <definedName name="bilateral_indicator4_disag_type12">PSP!$I$527</definedName>
    <definedName name="bilateral_indicator4_disag_type2">PSP!$I$517</definedName>
    <definedName name="bilateral_indicator4_disag_type3">PSP!$I$518</definedName>
    <definedName name="bilateral_indicator4_disag_type4">PSP!$I$519</definedName>
    <definedName name="bilateral_indicator4_disag_type5">PSP!$I$520</definedName>
    <definedName name="bilateral_indicator4_disag_type6">PSP!$I$521</definedName>
    <definedName name="bilateral_indicator4_disag_type7">PSP!$I$522</definedName>
    <definedName name="bilateral_indicator4_disag_type8">PSP!$I$523</definedName>
    <definedName name="bilateral_indicator4_disag_type9">PSP!$I$524</definedName>
    <definedName name="bilateral_indicator4_disag_value1">PSP!$J$516</definedName>
    <definedName name="bilateral_indicator4_disag_value10">PSP!$J$525</definedName>
    <definedName name="bilateral_indicator4_disag_value11">PSP!$J$526</definedName>
    <definedName name="bilateral_indicator4_disag_value12">PSP!$J$527</definedName>
    <definedName name="bilateral_indicator4_disag_value2">PSP!$J$517</definedName>
    <definedName name="bilateral_indicator4_disag_value3">PSP!$J$518</definedName>
    <definedName name="bilateral_indicator4_disag_value4">PSP!$J$519</definedName>
    <definedName name="bilateral_indicator4_disag_value5">PSP!$J$520</definedName>
    <definedName name="bilateral_indicator4_disag_value6">PSP!$J$521</definedName>
    <definedName name="bilateral_indicator4_disag_value7">PSP!$J$522</definedName>
    <definedName name="bilateral_indicator4_disag_value8">PSP!$J$523</definedName>
    <definedName name="bilateral_indicator4_disag_value9">PSP!$J$524</definedName>
    <definedName name="bilateral_indicator5">PSP!$C$528</definedName>
    <definedName name="bilateral_indicator5_disag_type1">PSP!$I$529</definedName>
    <definedName name="bilateral_indicator5_disag_type10">PSP!$I$538</definedName>
    <definedName name="bilateral_indicator5_disag_type11">PSP!$I$539</definedName>
    <definedName name="bilateral_indicator5_disag_type12">PSP!$I$540</definedName>
    <definedName name="bilateral_indicator5_disag_type2">PSP!$I$530</definedName>
    <definedName name="bilateral_indicator5_disag_type3">PSP!$I$531</definedName>
    <definedName name="bilateral_indicator5_disag_type4">PSP!$I$532</definedName>
    <definedName name="bilateral_indicator5_disag_type5">PSP!$I$533</definedName>
    <definedName name="bilateral_indicator5_disag_type6">PSP!$I$534</definedName>
    <definedName name="bilateral_indicator5_disag_type7">PSP!$I$535</definedName>
    <definedName name="bilateral_indicator5_disag_type8">PSP!$I$536</definedName>
    <definedName name="bilateral_indicator5_disag_type9">PSP!$I$537</definedName>
    <definedName name="bilateral_indicator5_disag_value1">PSP!$J$529</definedName>
    <definedName name="bilateral_indicator5_disag_value10">PSP!$J$538</definedName>
    <definedName name="bilateral_indicator5_disag_value11">PSP!$J$539</definedName>
    <definedName name="bilateral_indicator5_disag_value12">PSP!$J$540</definedName>
    <definedName name="bilateral_indicator5_disag_value2">PSP!$J$530</definedName>
    <definedName name="bilateral_indicator5_disag_value3">PSP!$J$531</definedName>
    <definedName name="bilateral_indicator5_disag_value4">PSP!$J$532</definedName>
    <definedName name="bilateral_indicator5_disag_value5">PSP!$J$533</definedName>
    <definedName name="bilateral_indicator5_disag_value6">PSP!$J$534</definedName>
    <definedName name="bilateral_indicator5_disag_value7">PSP!$J$535</definedName>
    <definedName name="bilateral_indicator5_disag_value8">PSP!$J$536</definedName>
    <definedName name="bilateral_indicator5_disag_value9">PSP!$J$537</definedName>
    <definedName name="bilateral_indicator6">PSP!$C$541</definedName>
    <definedName name="bilateral_indicator6_disag_type1">PSP!$I$542</definedName>
    <definedName name="bilateral_indicator6_disag_type10">PSP!$I$551</definedName>
    <definedName name="bilateral_indicator6_disag_type11">PSP!$I$552</definedName>
    <definedName name="bilateral_indicator6_disag_type12">PSP!$I$553</definedName>
    <definedName name="bilateral_indicator6_disag_type2">PSP!$I$543</definedName>
    <definedName name="bilateral_indicator6_disag_type3">PSP!$I$544</definedName>
    <definedName name="bilateral_indicator6_disag_type4">PSP!$I$545</definedName>
    <definedName name="bilateral_indicator6_disag_type5">PSP!$I$546</definedName>
    <definedName name="bilateral_indicator6_disag_type6">PSP!$I$547</definedName>
    <definedName name="bilateral_indicator6_disag_type7">PSP!$I$548</definedName>
    <definedName name="bilateral_indicator6_disag_type8">PSP!$I$549</definedName>
    <definedName name="bilateral_indicator6_disag_type9">PSP!$I$550</definedName>
    <definedName name="bilateral_indicator6_disag_value1">PSP!$J$542</definedName>
    <definedName name="bilateral_indicator6_disag_value10">PSP!$J$551</definedName>
    <definedName name="bilateral_indicator6_disag_value11">PSP!$J$552</definedName>
    <definedName name="bilateral_indicator6_disag_value12">PSP!$J$553</definedName>
    <definedName name="bilateral_indicator6_disag_value2">PSP!$J$543</definedName>
    <definedName name="bilateral_indicator6_disag_value3">PSP!$J$544</definedName>
    <definedName name="bilateral_indicator6_disag_value4">PSP!$J$545</definedName>
    <definedName name="bilateral_indicator6_disag_value5">PSP!$J$546</definedName>
    <definedName name="bilateral_indicator6_disag_value6">PSP!$J$547</definedName>
    <definedName name="bilateral_indicator6_disag_value7">PSP!$J$548</definedName>
    <definedName name="bilateral_indicator6_disag_value8">PSP!$J$549</definedName>
    <definedName name="bilateral_indicator6_disag_value9">PSP!$J$550</definedName>
    <definedName name="bilateral_indicator7">PSP!$C$554</definedName>
    <definedName name="bilateral_indicator7_disag_type1">PSP!$I$555</definedName>
    <definedName name="bilateral_indicator7_disag_type10">PSP!$I$564</definedName>
    <definedName name="bilateral_indicator7_disag_type11">PSP!$I$565</definedName>
    <definedName name="bilateral_indicator7_disag_type12">PSP!$I$566</definedName>
    <definedName name="bilateral_indicator7_disag_type2">PSP!$I$556</definedName>
    <definedName name="bilateral_indicator7_disag_type3">PSP!$I$557</definedName>
    <definedName name="bilateral_indicator7_disag_type4">PSP!$I$558</definedName>
    <definedName name="bilateral_indicator7_disag_type5">PSP!$I$559</definedName>
    <definedName name="bilateral_indicator7_disag_type6">PSP!$I$560</definedName>
    <definedName name="bilateral_indicator7_disag_type7">PSP!$I$561</definedName>
    <definedName name="bilateral_indicator7_disag_type8">PSP!$I$562</definedName>
    <definedName name="bilateral_indicator7_disag_type9">PSP!$I$563</definedName>
    <definedName name="bilateral_indicator7_disag_value1">PSP!$J$555</definedName>
    <definedName name="bilateral_indicator7_disag_value10">PSP!$J$564</definedName>
    <definedName name="bilateral_indicator7_disag_value11">PSP!$J$565</definedName>
    <definedName name="bilateral_indicator7_disag_value12">PSP!$J$566</definedName>
    <definedName name="bilateral_indicator7_disag_value2">PSP!$J$556</definedName>
    <definedName name="bilateral_indicator7_disag_value3">PSP!$J$557</definedName>
    <definedName name="bilateral_indicator7_disag_value4">PSP!$J$558</definedName>
    <definedName name="bilateral_indicator7_disag_value5">PSP!$J$559</definedName>
    <definedName name="bilateral_indicator7_disag_value6">PSP!$J$560</definedName>
    <definedName name="bilateral_indicator7_disag_value7">PSP!$J$561</definedName>
    <definedName name="bilateral_indicator7_disag_value8">PSP!$J$562</definedName>
    <definedName name="bilateral_indicator7_disag_value9">PSP!$J$563</definedName>
    <definedName name="bilateral_indicator8">PSP!$C$567</definedName>
    <definedName name="bilateral_indicator8_disag_type1">PSP!$I$568</definedName>
    <definedName name="bilateral_indicator8_disag_type10">PSP!$I$577</definedName>
    <definedName name="bilateral_indicator8_disag_type11">PSP!$I$578</definedName>
    <definedName name="bilateral_indicator8_disag_type12">PSP!$I$579</definedName>
    <definedName name="bilateral_indicator8_disag_type2">PSP!$I$569</definedName>
    <definedName name="bilateral_indicator8_disag_type3">PSP!$I$570</definedName>
    <definedName name="bilateral_indicator8_disag_type4">PSP!$I$571</definedName>
    <definedName name="bilateral_indicator8_disag_type5">PSP!$I$572</definedName>
    <definedName name="bilateral_indicator8_disag_type6">PSP!$I$573</definedName>
    <definedName name="bilateral_indicator8_disag_type7">PSP!$I$574</definedName>
    <definedName name="bilateral_indicator8_disag_type8">PSP!$I$575</definedName>
    <definedName name="bilateral_indicator8_disag_type9">PSP!$I$576</definedName>
    <definedName name="bilateral_indicator8_disag_value1">PSP!$J$568</definedName>
    <definedName name="bilateral_indicator8_disag_value10">PSP!$J$577</definedName>
    <definedName name="bilateral_indicator8_disag_value11">PSP!$J$578</definedName>
    <definedName name="bilateral_indicator8_disag_value12">PSP!$J$579</definedName>
    <definedName name="bilateral_indicator8_disag_value2">PSP!$J$569</definedName>
    <definedName name="bilateral_indicator8_disag_value3">PSP!$J$570</definedName>
    <definedName name="bilateral_indicator8_disag_value4">PSP!$J$571</definedName>
    <definedName name="bilateral_indicator8_disag_value5">PSP!$J$572</definedName>
    <definedName name="bilateral_indicator8_disag_value6">PSP!$J$573</definedName>
    <definedName name="bilateral_indicator8_disag_value7">PSP!$J$574</definedName>
    <definedName name="bilateral_indicator8_disag_value8">PSP!$J$575</definedName>
    <definedName name="bilateral_indicator8_disag_value9">PSP!$J$576</definedName>
    <definedName name="budget_headings">DATA!$C$3:$C$14</definedName>
    <definedName name="budget_chapters_column">tab_invoices[Rozpočtová kapitola]</definedName>
    <definedName name="budget_table">ROZPOCET!$A$1:$K$1</definedName>
    <definedName name="call_code">PSP!$F$24</definedName>
    <definedName name="cash_cofinancing_applicant">PSP!$F$45</definedName>
    <definedName name="cash_cofinancing_partner1">PSP!$G$45</definedName>
    <definedName name="cash_cofinancing_partner2">PSP!$H$45</definedName>
    <definedName name="cash_cofinancing_partner3">PSP!$I$45</definedName>
    <definedName name="cash_cofinancing_partner4">PSP!$J$45</definedName>
    <definedName name="cash_cofinancing_total">PSP!$K$45</definedName>
    <definedName name="cash_costs_claimed_applicant">PSP!$F$174</definedName>
    <definedName name="cash_costs_claimed_eligible_applicant">PSP!$F$175</definedName>
    <definedName name="cash_costs_claimed_eligible_partner1">PSP!$G$175</definedName>
    <definedName name="cash_costs_claimed_eligible_partner2">PSP!$H$175</definedName>
    <definedName name="cash_costs_claimed_eligible_partner3">PSP!$I$175</definedName>
    <definedName name="cash_costs_claimed_eligible_partner4">PSP!$J$175</definedName>
    <definedName name="cash_costs_claimed_eligible_total">PSP!$K$175</definedName>
    <definedName name="cash_costs_claimed_partner1">PSP!$G$174</definedName>
    <definedName name="cash_costs_claimed_partner2">PSP!$H$174</definedName>
    <definedName name="cash_costs_claimed_partner3">PSP!$I$174</definedName>
    <definedName name="cash_costs_claimed_partner4">PSP!$J$174</definedName>
    <definedName name="cash_costs_claimed_total">PSP!$K$174</definedName>
    <definedName name="cash_costs_settled_applicant">PSP!$F$154</definedName>
    <definedName name="cash_costs_settled_partner1">PSP!$G$154</definedName>
    <definedName name="cash_costs_settled_partner2">PSP!$H$154</definedName>
    <definedName name="cash_costs_settled_partner3">PSP!$I$154</definedName>
    <definedName name="cash_costs_settled_partner4">PSP!$J$154</definedName>
    <definedName name="cash_costs_settled_total">PSP!$K$154</definedName>
    <definedName name="claimed_amount_column">tab_invoices[Nárokovaná suma]</definedName>
    <definedName name="component">PSP!$F$26</definedName>
    <definedName name="contract_number">PSP!$L$32</definedName>
    <definedName name="costs_current_total_activity1">ROZDELENIE!$T$3</definedName>
    <definedName name="costs_current_total_activity2">ROZDELENIE!$T$4</definedName>
    <definedName name="costs_current_total_activity3">ROZDELENIE!$T$5</definedName>
    <definedName name="costs_current_total_activity4">ROZDELENIE!$T$6</definedName>
    <definedName name="costs_current_total_activity5">ROZDELENIE!$T$7</definedName>
    <definedName name="costs_current_total_activity6">ROZDELENIE!$T$8</definedName>
    <definedName name="costs_current_total_activity7">ROZDELENIE!$T$9</definedName>
    <definedName name="costs_current_total_activity8">ROZDELENIE!$T$10</definedName>
    <definedName name="costs_current_total_management">ROZDELENIE!$T$2</definedName>
    <definedName name="costs_left_total_activity1">ROZDELENIE!$Z$3</definedName>
    <definedName name="costs_left_total_activity2">ROZDELENIE!$Z$4</definedName>
    <definedName name="costs_left_total_activity3">ROZDELENIE!$Z$5</definedName>
    <definedName name="costs_left_total_activity4">ROZDELENIE!$Z$6</definedName>
    <definedName name="costs_left_total_activity5">ROZDELENIE!$Z$7</definedName>
    <definedName name="costs_left_total_activity6">ROZDELENIE!$Z$8</definedName>
    <definedName name="costs_left_total_activity7">ROZDELENIE!$Z$9</definedName>
    <definedName name="costs_left_total_activity8">ROZDELENIE!$Z$10</definedName>
    <definedName name="costs_left_total_management">ROZDELENIE!$Z$2</definedName>
    <definedName name="costs_left_total_percentage_activity1">ROZDELENIE!$AA$3</definedName>
    <definedName name="costs_left_total_percentage_activity2">ROZDELENIE!$AA$4</definedName>
    <definedName name="costs_left_total_percentage_activity3">ROZDELENIE!$AA$5</definedName>
    <definedName name="costs_left_total_percentage_activity4">ROZDELENIE!$AA$6</definedName>
    <definedName name="costs_left_total_percentage_activity5">ROZDELENIE!$AA$7</definedName>
    <definedName name="costs_left_total_percentage_activity6">ROZDELENIE!$AA$8</definedName>
    <definedName name="costs_left_total_percentage_activity7">ROZDELENIE!$AA$9</definedName>
    <definedName name="costs_left_total_percentage_activity8">ROZDELENIE!$AA$10</definedName>
    <definedName name="costs_left_total_percentage_management">ROZDELENIE!$AA$2</definedName>
    <definedName name="costs_planned_total_activity1">ROZDELENIE!$H$3</definedName>
    <definedName name="costs_planned_total_activity2">ROZDELENIE!$H$4</definedName>
    <definedName name="costs_planned_total_activity3">ROZDELENIE!$H$5</definedName>
    <definedName name="costs_planned_total_activity4">ROZDELENIE!$H$6</definedName>
    <definedName name="costs_planned_total_activity5">ROZDELENIE!$H$7</definedName>
    <definedName name="costs_planned_total_activity6">ROZDELENIE!$H$8</definedName>
    <definedName name="costs_planned_total_activity7">ROZDELENIE!$H$9</definedName>
    <definedName name="costs_planned_total_activity8">ROZDELENIE!$H$10</definedName>
    <definedName name="costs_planned_total_management">ROZDELENIE!$H$2</definedName>
    <definedName name="costs_real_total_activity1">ROZDELENIE!$N$3</definedName>
    <definedName name="costs_real_total_activity2">ROZDELENIE!$N$4</definedName>
    <definedName name="costs_real_total_activity3">ROZDELENIE!$N$5</definedName>
    <definedName name="costs_real_total_activity4">ROZDELENIE!$N$6</definedName>
    <definedName name="costs_real_total_activity5">ROZDELENIE!$N$7</definedName>
    <definedName name="costs_real_total_activity6">ROZDELENIE!$N$8</definedName>
    <definedName name="costs_real_total_activity7">ROZDELENIE!$N$9</definedName>
    <definedName name="costs_real_total_activity8">ROZDELENIE!$N$10</definedName>
    <definedName name="costs_real_total_management">ROZDELENIE!$N$2</definedName>
    <definedName name="cross_cutting_issues_contribution">DATA!$N$3:$N$5</definedName>
    <definedName name="direct_costs_applicant">PSP!$F$40</definedName>
    <definedName name="direct_costs_claimed_applicant">PSP!$F$163</definedName>
    <definedName name="direct_costs_claimed_partner1">PSP!$G$163</definedName>
    <definedName name="direct_costs_claimed_partner2">PSP!$H$163</definedName>
    <definedName name="direct_costs_claimed_partner3">PSP!$I$163</definedName>
    <definedName name="direct_costs_claimed_partner4">PSP!$J$163</definedName>
    <definedName name="direct_costs_claimed_total">PSP!$K$163</definedName>
    <definedName name="direct_costs_partner1">PSP!$G$40</definedName>
    <definedName name="direct_costs_partner2">PSP!$H$40</definedName>
    <definedName name="direct_costs_partner3">PSP!$I$40</definedName>
    <definedName name="direct_costs_partner4">PSP!$J$40</definedName>
    <definedName name="direct_costs_settled_applicant">PSP!$F$88</definedName>
    <definedName name="direct_costs_settled_partner1">PSP!$G$88</definedName>
    <definedName name="direct_costs_settled_partner2">PSP!$H$88</definedName>
    <definedName name="direct_costs_settled_partner3">PSP!$I$88</definedName>
    <definedName name="direct_costs_settled_partner4">PSP!$J$88</definedName>
    <definedName name="direct_costs_settled_total">PSP!$K$88</definedName>
    <definedName name="direct_costs_total">PSP!$K$40</definedName>
    <definedName name="effective_of">PSP!$L$769</definedName>
    <definedName name="eight_reimbursement_date">PSP!$E$77</definedName>
    <definedName name="eight_reimbursement_partner1">PSP!$G$77</definedName>
    <definedName name="eight_reimbursement_partner2">PSP!$H$77</definedName>
    <definedName name="eight_reimbursement_partner3">PSP!$I$77</definedName>
    <definedName name="eight_reimbursement_partner4">PSP!$J$77</definedName>
    <definedName name="eight_reimbursement_promoter">PSP!$F$77</definedName>
    <definedName name="eight_reimbursement_total">PSP!$K$77</definedName>
    <definedName name="entities">DATA!$D$3:$D$7</definedName>
    <definedName name="equipment_approved_on1">PSP!$K$900</definedName>
    <definedName name="equipment_approved_on10">PSP!$K$909</definedName>
    <definedName name="equipment_approved_on11">PSP!$K$910</definedName>
    <definedName name="equipment_approved_on12">PSP!$K$911</definedName>
    <definedName name="equipment_approved_on13">PSP!$K$912</definedName>
    <definedName name="equipment_approved_on14">PSP!$K$913</definedName>
    <definedName name="equipment_approved_on15">PSP!$K$914</definedName>
    <definedName name="equipment_approved_on16">PSP!$K$915</definedName>
    <definedName name="equipment_approved_on17">PSP!$K$916</definedName>
    <definedName name="equipment_approved_on18">PSP!$K$917</definedName>
    <definedName name="equipment_approved_on19">PSP!$K$918</definedName>
    <definedName name="equipment_approved_on2">PSP!$K$901</definedName>
    <definedName name="equipment_approved_on20">PSP!$K$919</definedName>
    <definedName name="equipment_approved_on21">PSP!$K$920</definedName>
    <definedName name="equipment_approved_on22">PSP!$K$921</definedName>
    <definedName name="equipment_approved_on23">PSP!$K$922</definedName>
    <definedName name="equipment_approved_on24">PSP!$K$923</definedName>
    <definedName name="equipment_approved_on25">PSP!$K$924</definedName>
    <definedName name="equipment_approved_on26">PSP!$K$925</definedName>
    <definedName name="equipment_approved_on27">PSP!$K$926</definedName>
    <definedName name="equipment_approved_on28">PSP!$K$927</definedName>
    <definedName name="equipment_approved_on29">PSP!$K$928</definedName>
    <definedName name="equipment_approved_on3">PSP!$K$902</definedName>
    <definedName name="equipment_approved_on30">PSP!$K$929</definedName>
    <definedName name="equipment_approved_on31">PSP!$K$930</definedName>
    <definedName name="equipment_approved_on32">PSP!$K$931</definedName>
    <definedName name="equipment_approved_on33">PSP!$K$932</definedName>
    <definedName name="equipment_approved_on34">PSP!$K$933</definedName>
    <definedName name="equipment_approved_on35">PSP!$K$934</definedName>
    <definedName name="equipment_approved_on36">PSP!$K$935</definedName>
    <definedName name="equipment_approved_on37">PSP!$K$936</definedName>
    <definedName name="equipment_approved_on38">PSP!$K$937</definedName>
    <definedName name="equipment_approved_on39">PSP!$K$938</definedName>
    <definedName name="equipment_approved_on4">PSP!$K$903</definedName>
    <definedName name="equipment_approved_on40">PSP!$K$939</definedName>
    <definedName name="equipment_approved_on41">PSP!$K$940</definedName>
    <definedName name="equipment_approved_on42">PSP!$K$941</definedName>
    <definedName name="equipment_approved_on43">PSP!$K$942</definedName>
    <definedName name="equipment_approved_on44">PSP!$K$943</definedName>
    <definedName name="equipment_approved_on5">PSP!$K$904</definedName>
    <definedName name="equipment_approved_on6">PSP!$K$905</definedName>
    <definedName name="equipment_approved_on7">PSP!$K$906</definedName>
    <definedName name="equipment_approved_on8">PSP!$K$907</definedName>
    <definedName name="equipment_approved_on9">PSP!$K$908</definedName>
    <definedName name="equipment_inventory_ID1">PSP!$E$900</definedName>
    <definedName name="equipment_inventory_ID10">PSP!$E$909</definedName>
    <definedName name="equipment_inventory_ID11">PSP!$E$910</definedName>
    <definedName name="equipment_inventory_ID12">PSP!$E$911</definedName>
    <definedName name="equipment_inventory_ID13">PSP!$E$912</definedName>
    <definedName name="equipment_inventory_ID14">PSP!$E$913</definedName>
    <definedName name="equipment_inventory_ID15">PSP!$E$914</definedName>
    <definedName name="equipment_inventory_ID16">PSP!$E$915</definedName>
    <definedName name="equipment_inventory_ID17">PSP!$E$916</definedName>
    <definedName name="equipment_inventory_ID18">PSP!$E$917</definedName>
    <definedName name="equipment_inventory_ID19">PSP!$E$918</definedName>
    <definedName name="equipment_inventory_ID2">PSP!$E$901</definedName>
    <definedName name="equipment_inventory_ID20">PSP!$E$919</definedName>
    <definedName name="equipment_inventory_ID21">PSP!$E$920</definedName>
    <definedName name="equipment_inventory_ID22">PSP!$E$921</definedName>
    <definedName name="equipment_inventory_ID23">PSP!$E$922</definedName>
    <definedName name="equipment_inventory_ID24">PSP!$E$923</definedName>
    <definedName name="equipment_inventory_ID25">PSP!$E$924</definedName>
    <definedName name="equipment_inventory_ID26">PSP!$E$925</definedName>
    <definedName name="equipment_inventory_ID27">PSP!$E$926</definedName>
    <definedName name="equipment_inventory_ID28">PSP!$E$927</definedName>
    <definedName name="equipment_inventory_ID29">PSP!$E$928</definedName>
    <definedName name="equipment_inventory_ID3">PSP!$E$902</definedName>
    <definedName name="equipment_inventory_ID30">PSP!$E$929</definedName>
    <definedName name="equipment_inventory_ID31">PSP!$E$930</definedName>
    <definedName name="equipment_inventory_ID32">PSP!$E$931</definedName>
    <definedName name="equipment_inventory_ID33">PSP!$E$932</definedName>
    <definedName name="equipment_inventory_ID34">PSP!$E$933</definedName>
    <definedName name="equipment_inventory_ID35">PSP!$E$934</definedName>
    <definedName name="equipment_inventory_ID36">PSP!$E$935</definedName>
    <definedName name="equipment_inventory_ID37">PSP!$E$936</definedName>
    <definedName name="equipment_inventory_ID38">PSP!$E$937</definedName>
    <definedName name="equipment_inventory_ID39">PSP!$E$938</definedName>
    <definedName name="equipment_inventory_ID4">PSP!$E$903</definedName>
    <definedName name="equipment_inventory_ID40">PSP!$E$939</definedName>
    <definedName name="equipment_inventory_ID41">PSP!$E$940</definedName>
    <definedName name="equipment_inventory_ID42">PSP!$E$941</definedName>
    <definedName name="equipment_inventory_ID43">PSP!$E$942</definedName>
    <definedName name="equipment_inventory_ID44">PSP!$E$943</definedName>
    <definedName name="equipment_inventory_ID5">PSP!$E$904</definedName>
    <definedName name="equipment_inventory_ID6">PSP!$E$905</definedName>
    <definedName name="equipment_inventory_ID7">PSP!$E$906</definedName>
    <definedName name="equipment_inventory_ID8">PSP!$E$907</definedName>
    <definedName name="equipment_inventory_ID9">PSP!$E$908</definedName>
    <definedName name="equipment_invoice_number1">PSP!$F$900</definedName>
    <definedName name="equipment_invoice_number10">PSP!$F$909</definedName>
    <definedName name="equipment_invoice_number11">PSP!$F$910</definedName>
    <definedName name="equipment_invoice_number12">PSP!$F$911</definedName>
    <definedName name="equipment_invoice_number13">PSP!$F$912</definedName>
    <definedName name="equipment_invoice_number14">PSP!$F$913</definedName>
    <definedName name="equipment_invoice_number15">PSP!$F$914</definedName>
    <definedName name="equipment_invoice_number16">PSP!$F$915</definedName>
    <definedName name="equipment_invoice_number17">PSP!$F$916</definedName>
    <definedName name="equipment_invoice_number18">PSP!$F$917</definedName>
    <definedName name="equipment_invoice_number19">PSP!$F$918</definedName>
    <definedName name="equipment_invoice_number2">PSP!$F$901</definedName>
    <definedName name="equipment_invoice_number20">PSP!$F$919</definedName>
    <definedName name="equipment_invoice_number21">PSP!$F$920</definedName>
    <definedName name="equipment_invoice_number22">PSP!$F$921</definedName>
    <definedName name="equipment_invoice_number23">PSP!$F$922</definedName>
    <definedName name="equipment_invoice_number24">PSP!$F$923</definedName>
    <definedName name="equipment_invoice_number25">PSP!$F$924</definedName>
    <definedName name="equipment_invoice_number26">PSP!$F$925</definedName>
    <definedName name="equipment_invoice_number27">PSP!$F$926</definedName>
    <definedName name="equipment_invoice_number28">PSP!$F$927</definedName>
    <definedName name="equipment_invoice_number29">PSP!$F$928</definedName>
    <definedName name="equipment_invoice_number3">PSP!$F$902</definedName>
    <definedName name="equipment_invoice_number30">PSP!$F$929</definedName>
    <definedName name="equipment_invoice_number31">PSP!$F$930</definedName>
    <definedName name="equipment_invoice_number32">PSP!$F$931</definedName>
    <definedName name="equipment_invoice_number33">PSP!$F$932</definedName>
    <definedName name="equipment_invoice_number34">PSP!$F$933</definedName>
    <definedName name="equipment_invoice_number35">PSP!$F$934</definedName>
    <definedName name="equipment_invoice_number36">PSP!$F$935</definedName>
    <definedName name="equipment_invoice_number37">PSP!$F$936</definedName>
    <definedName name="equipment_invoice_number38">PSP!$F$937</definedName>
    <definedName name="equipment_invoice_number39">PSP!$F$938</definedName>
    <definedName name="equipment_invoice_number4">PSP!$F$903</definedName>
    <definedName name="equipment_invoice_number40">PSP!$F$939</definedName>
    <definedName name="equipment_invoice_number41">PSP!$F$940</definedName>
    <definedName name="equipment_invoice_number42">PSP!$F$941</definedName>
    <definedName name="equipment_invoice_number43">PSP!$F$942</definedName>
    <definedName name="equipment_invoice_number44">PSP!$F$943</definedName>
    <definedName name="equipment_invoice_number5">PSP!$F$904</definedName>
    <definedName name="equipment_invoice_number6">PSP!$F$905</definedName>
    <definedName name="equipment_invoice_number7">PSP!$F$906</definedName>
    <definedName name="equipment_invoice_number8">PSP!$F$907</definedName>
    <definedName name="equipment_invoice_number9">PSP!$F$908</definedName>
    <definedName name="equipment_purchase_price1">PSP!$G$900</definedName>
    <definedName name="equipment_purchase_price10">PSP!$G$909</definedName>
    <definedName name="equipment_purchase_price11">PSP!$G$910</definedName>
    <definedName name="equipment_purchase_price12">PSP!$G$911</definedName>
    <definedName name="equipment_purchase_price13">PSP!$G$912</definedName>
    <definedName name="equipment_purchase_price14">PSP!$G$913</definedName>
    <definedName name="equipment_purchase_price15">PSP!$G$914</definedName>
    <definedName name="equipment_purchase_price16">PSP!$G$915</definedName>
    <definedName name="equipment_purchase_price17">PSP!$G$916</definedName>
    <definedName name="equipment_purchase_price18">PSP!$G$917</definedName>
    <definedName name="equipment_purchase_price19">PSP!$G$918</definedName>
    <definedName name="equipment_purchase_price2">PSP!$G$901</definedName>
    <definedName name="equipment_purchase_price20">PSP!$G$919</definedName>
    <definedName name="equipment_purchase_price21">PSP!$G$920</definedName>
    <definedName name="equipment_purchase_price22">PSP!$G$921</definedName>
    <definedName name="equipment_purchase_price23">PSP!$G$922</definedName>
    <definedName name="equipment_purchase_price24">PSP!$G$923</definedName>
    <definedName name="equipment_purchase_price25">PSP!$G$924</definedName>
    <definedName name="equipment_purchase_price26">PSP!$G$925</definedName>
    <definedName name="equipment_purchase_price27">PSP!$G$926</definedName>
    <definedName name="equipment_purchase_price28">PSP!$G$927</definedName>
    <definedName name="equipment_purchase_price29">PSP!$G$928</definedName>
    <definedName name="equipment_purchase_price3">PSP!$G$902</definedName>
    <definedName name="equipment_purchase_price30">PSP!$G$929</definedName>
    <definedName name="equipment_purchase_price31">PSP!$G$930</definedName>
    <definedName name="equipment_purchase_price32">PSP!$G$931</definedName>
    <definedName name="equipment_purchase_price33">PSP!$G$932</definedName>
    <definedName name="equipment_purchase_price34">PSP!$G$933</definedName>
    <definedName name="equipment_purchase_price35">PSP!$G$934</definedName>
    <definedName name="equipment_purchase_price36">PSP!$G$935</definedName>
    <definedName name="equipment_purchase_price37">PSP!$G$936</definedName>
    <definedName name="equipment_purchase_price38">PSP!$G$937</definedName>
    <definedName name="equipment_purchase_price39">PSP!$G$938</definedName>
    <definedName name="equipment_purchase_price4">PSP!$G$903</definedName>
    <definedName name="equipment_purchase_price40">PSP!$G$939</definedName>
    <definedName name="equipment_purchase_price41">PSP!$G$940</definedName>
    <definedName name="equipment_purchase_price42">PSP!$G$941</definedName>
    <definedName name="equipment_purchase_price43">PSP!$G$942</definedName>
    <definedName name="equipment_purchase_price44">PSP!$G$943</definedName>
    <definedName name="equipment_purchase_price5">PSP!$G$904</definedName>
    <definedName name="equipment_purchase_price6">PSP!$G$905</definedName>
    <definedName name="equipment_purchase_price7">PSP!$G$906</definedName>
    <definedName name="equipment_purchase_price8">PSP!$G$907</definedName>
    <definedName name="equipment_purchase_price9">PSP!$G$908</definedName>
    <definedName name="equipment_relates_to1">PSP!$H$900</definedName>
    <definedName name="equipment_relates_to10">PSP!$H$909</definedName>
    <definedName name="equipment_relates_to11">PSP!$H$910</definedName>
    <definedName name="equipment_relates_to12">PSP!$H$911</definedName>
    <definedName name="equipment_relates_to13">PSP!$H$912</definedName>
    <definedName name="equipment_relates_to14">PSP!$H$913</definedName>
    <definedName name="equipment_relates_to15">PSP!$H$914</definedName>
    <definedName name="equipment_relates_to16">PSP!$H$915</definedName>
    <definedName name="equipment_relates_to17">PSP!$H$916</definedName>
    <definedName name="equipment_relates_to18">PSP!$H$917</definedName>
    <definedName name="equipment_relates_to19">PSP!$H$918</definedName>
    <definedName name="equipment_relates_to2">PSP!$H$901</definedName>
    <definedName name="equipment_relates_to20">PSP!$H$919</definedName>
    <definedName name="equipment_relates_to21">PSP!$H$920</definedName>
    <definedName name="equipment_relates_to22">PSP!$H$921</definedName>
    <definedName name="equipment_relates_to23">PSP!$H$922</definedName>
    <definedName name="equipment_relates_to24">PSP!$H$923</definedName>
    <definedName name="equipment_relates_to25">PSP!$H$924</definedName>
    <definedName name="equipment_relates_to26">PSP!$H$925</definedName>
    <definedName name="equipment_relates_to27">PSP!$H$926</definedName>
    <definedName name="equipment_relates_to28">PSP!$H$927</definedName>
    <definedName name="equipment_relates_to29">PSP!$H$928</definedName>
    <definedName name="equipment_relates_to3">PSP!$H$902</definedName>
    <definedName name="equipment_relates_to30">PSP!$H$929</definedName>
    <definedName name="equipment_relates_to31">PSP!$H$930</definedName>
    <definedName name="equipment_relates_to32">PSP!$H$931</definedName>
    <definedName name="equipment_relates_to33">PSP!$H$932</definedName>
    <definedName name="equipment_relates_to34">PSP!$H$933</definedName>
    <definedName name="equipment_relates_to35">PSP!$H$934</definedName>
    <definedName name="equipment_relates_to36">PSP!$H$935</definedName>
    <definedName name="equipment_relates_to37">PSP!$H$936</definedName>
    <definedName name="equipment_relates_to38">PSP!$H$937</definedName>
    <definedName name="equipment_relates_to39">PSP!$H$938</definedName>
    <definedName name="equipment_relates_to4">PSP!$H$903</definedName>
    <definedName name="equipment_relates_to40">PSP!$H$939</definedName>
    <definedName name="equipment_relates_to41">PSP!$H$940</definedName>
    <definedName name="equipment_relates_to42">PSP!$H$941</definedName>
    <definedName name="equipment_relates_to43">PSP!$H$942</definedName>
    <definedName name="equipment_relates_to44">PSP!$H$943</definedName>
    <definedName name="equipment_relates_to5">PSP!$H$904</definedName>
    <definedName name="equipment_relates_to6">PSP!$H$905</definedName>
    <definedName name="equipment_relates_to7">PSP!$H$906</definedName>
    <definedName name="equipment_relates_to8">PSP!$H$907</definedName>
    <definedName name="equipment_relates_to9">PSP!$H$908</definedName>
    <definedName name="equipment_remarks1">PSP!$L$900</definedName>
    <definedName name="equipment_remarks10">PSP!$L$909</definedName>
    <definedName name="equipment_remarks11">PSP!$L$910</definedName>
    <definedName name="equipment_remarks12">PSP!$L$911</definedName>
    <definedName name="equipment_remarks13">PSP!$L$912</definedName>
    <definedName name="equipment_remarks14">PSP!$L$913</definedName>
    <definedName name="equipment_remarks15">PSP!$L$914</definedName>
    <definedName name="equipment_remarks16">PSP!$L$915</definedName>
    <definedName name="equipment_remarks17">PSP!$L$916</definedName>
    <definedName name="equipment_remarks18">PSP!$L$917</definedName>
    <definedName name="equipment_remarks19">PSP!$L$918</definedName>
    <definedName name="equipment_remarks2">PSP!$L$901</definedName>
    <definedName name="equipment_remarks20">PSP!$L$919</definedName>
    <definedName name="equipment_remarks21">PSP!$L$920</definedName>
    <definedName name="equipment_remarks22">PSP!$L$921</definedName>
    <definedName name="equipment_remarks23">PSP!$L$922</definedName>
    <definedName name="equipment_remarks24">PSP!$L$923</definedName>
    <definedName name="equipment_remarks25">PSP!$L$924</definedName>
    <definedName name="equipment_remarks26">PSP!$L$925</definedName>
    <definedName name="equipment_remarks27">PSP!$L$926</definedName>
    <definedName name="equipment_remarks28">PSP!$L$927</definedName>
    <definedName name="equipment_remarks29">PSP!$L$928</definedName>
    <definedName name="equipment_remarks3">PSP!$L$902</definedName>
    <definedName name="equipment_remarks30">PSP!$L$929</definedName>
    <definedName name="equipment_remarks31">PSP!$L$930</definedName>
    <definedName name="equipment_remarks32">PSP!$L$931</definedName>
    <definedName name="equipment_remarks33">PSP!$L$932</definedName>
    <definedName name="equipment_remarks34">PSP!$L$933</definedName>
    <definedName name="equipment_remarks35">PSP!$L$934</definedName>
    <definedName name="equipment_remarks36">PSP!$L$935</definedName>
    <definedName name="equipment_remarks37">PSP!$L$936</definedName>
    <definedName name="equipment_remarks38">PSP!$L$937</definedName>
    <definedName name="equipment_remarks39">PSP!$L$938</definedName>
    <definedName name="equipment_remarks4">PSP!$L$903</definedName>
    <definedName name="equipment_remarks40">PSP!$L$939</definedName>
    <definedName name="equipment_remarks41">PSP!$L$940</definedName>
    <definedName name="equipment_remarks42">PSP!$L$941</definedName>
    <definedName name="equipment_remarks43">PSP!$L$942</definedName>
    <definedName name="equipment_remarks44">PSP!$L$943</definedName>
    <definedName name="equipment_remarks5">PSP!$L$904</definedName>
    <definedName name="equipment_remarks6">PSP!$L$905</definedName>
    <definedName name="equipment_remarks7">PSP!$L$906</definedName>
    <definedName name="equipment_remarks8">PSP!$L$907</definedName>
    <definedName name="equipment_remarks9">PSP!$L$908</definedName>
    <definedName name="equipment_title1">PSP!$C$900</definedName>
    <definedName name="equipment_title10">PSP!$C$909</definedName>
    <definedName name="equipment_title11">PSP!$C$910</definedName>
    <definedName name="equipment_title12">PSP!$C$911</definedName>
    <definedName name="equipment_title13">PSP!$C$912</definedName>
    <definedName name="equipment_title14">PSP!$C$913</definedName>
    <definedName name="equipment_title15">PSP!$C$914</definedName>
    <definedName name="equipment_title16">PSP!$C$915</definedName>
    <definedName name="equipment_title17">PSP!$C$916</definedName>
    <definedName name="equipment_title18">PSP!$C$917</definedName>
    <definedName name="equipment_title19">PSP!$C$918</definedName>
    <definedName name="equipment_title2">PSP!$C$901</definedName>
    <definedName name="equipment_title20">PSP!$C$919</definedName>
    <definedName name="equipment_title21">PSP!$C$920</definedName>
    <definedName name="equipment_title22">PSP!$C$921</definedName>
    <definedName name="equipment_title23">PSP!$C$922</definedName>
    <definedName name="equipment_title24">PSP!$C$923</definedName>
    <definedName name="equipment_title25">PSP!$C$924</definedName>
    <definedName name="equipment_title26">PSP!$C$925</definedName>
    <definedName name="equipment_title27">PSP!$C$926</definedName>
    <definedName name="equipment_title28">PSP!$C$927</definedName>
    <definedName name="equipment_title29">PSP!$C$928</definedName>
    <definedName name="equipment_title3">PSP!$C$902</definedName>
    <definedName name="equipment_title30">PSP!$C$929</definedName>
    <definedName name="equipment_title31">PSP!$C$930</definedName>
    <definedName name="equipment_title32">PSP!$C$931</definedName>
    <definedName name="equipment_title33">PSP!$C$932</definedName>
    <definedName name="equipment_title34">PSP!$C$933</definedName>
    <definedName name="equipment_title35">PSP!$C$934</definedName>
    <definedName name="equipment_title36">PSP!$C$935</definedName>
    <definedName name="equipment_title37">PSP!$C$936</definedName>
    <definedName name="equipment_title38">PSP!$C$937</definedName>
    <definedName name="equipment_title39">PSP!$C$938</definedName>
    <definedName name="equipment_title4">PSP!$C$903</definedName>
    <definedName name="equipment_title40">PSP!$C$939</definedName>
    <definedName name="equipment_title5">PSP!$C$904</definedName>
    <definedName name="equipment_title6">PSP!$C$905</definedName>
    <definedName name="equipment_title7">PSP!$C$906</definedName>
    <definedName name="equipment_title8">PSP!$C$907</definedName>
    <definedName name="equipment_title9">PSP!$C$908</definedName>
    <definedName name="equipments_relates_to_range">PSP!$H$900:$H$943</definedName>
    <definedName name="exempted_equipment_first_row">DATA!$F$2</definedName>
    <definedName name="expenditure_items_column">tab_invoices[Rozpočtová položka]</definedName>
    <definedName name="fifth_interim_payment_date">PSP!$E$62</definedName>
    <definedName name="fifth_interim_payment_partner1">PSP!$G$62</definedName>
    <definedName name="fifth_interim_payment_partner2">PSP!$H$62</definedName>
    <definedName name="fifth_interim_payment_partner3">PSP!$I$62</definedName>
    <definedName name="fifth_interim_payment_partner4">PSP!$J$62</definedName>
    <definedName name="fifth_interim_payment_promoter">PSP!$F$62</definedName>
    <definedName name="fifth_interim_payment_total">PSP!$K$62</definedName>
    <definedName name="fifth_reimbursement_date">PSP!$E$74</definedName>
    <definedName name="fifth_reimbursement_partner1">PSP!$G$74</definedName>
    <definedName name="fifth_reimbursement_partner2">PSP!$H$74</definedName>
    <definedName name="fifth_reimbursement_partner3">PSP!$I$74</definedName>
    <definedName name="fifth_reimbursement_partner4">PSP!$J$74</definedName>
    <definedName name="fifth_reimbursement_promoter">PSP!$F$74</definedName>
    <definedName name="fifth_reimbursement_total">PSP!$K$74</definedName>
    <definedName name="final_eligibility_date">PSP!$L$771</definedName>
    <definedName name="final_payment_amount">PSP!$K$223</definedName>
    <definedName name="final_payment_cash_cofinancing_amount">PSP!$K$229</definedName>
    <definedName name="final_payment_condition_remarks1">PSP!$I$981</definedName>
    <definedName name="final_payment_condition_remarks10">PSP!$I$990</definedName>
    <definedName name="final_payment_condition_remarks11">PSP!$I$991</definedName>
    <definedName name="final_payment_condition_remarks12">PSP!$I$992</definedName>
    <definedName name="final_payment_condition_remarks13">PSP!$I$993</definedName>
    <definedName name="final_payment_condition_remarks14">PSP!$I$994</definedName>
    <definedName name="final_payment_condition_remarks15">PSP!$I$995</definedName>
    <definedName name="final_payment_condition_remarks16">PSP!$I$996</definedName>
    <definedName name="final_payment_condition_remarks17">PSP!$I$997</definedName>
    <definedName name="final_payment_condition_remarks18">PSP!$I$998</definedName>
    <definedName name="final_payment_condition_remarks19">PSP!$I$999</definedName>
    <definedName name="final_payment_condition_remarks2">PSP!$I$982</definedName>
    <definedName name="final_payment_condition_remarks20">PSP!$I$1000</definedName>
    <definedName name="final_payment_condition_remarks3">PSP!$I$983</definedName>
    <definedName name="final_payment_condition_remarks4">PSP!$I$984</definedName>
    <definedName name="final_payment_condition_remarks5">PSP!$I$985</definedName>
    <definedName name="final_payment_condition_remarks6">PSP!$I$986</definedName>
    <definedName name="final_payment_condition_remarks7">PSP!$I$987</definedName>
    <definedName name="final_payment_condition_remarks8">PSP!$I$988</definedName>
    <definedName name="final_payment_condition_remarks9">PSP!$I$989</definedName>
    <definedName name="final_payment_condition_status1">PSP!$H$981</definedName>
    <definedName name="final_payment_condition_status10">PSP!$H$990</definedName>
    <definedName name="final_payment_condition_status11">PSP!$H$991</definedName>
    <definedName name="final_payment_condition_status12">PSP!$H$992</definedName>
    <definedName name="final_payment_condition_status13">PSP!$H$993</definedName>
    <definedName name="final_payment_condition_status14">PSP!$H$994</definedName>
    <definedName name="final_payment_condition_status15">PSP!$H$995</definedName>
    <definedName name="final_payment_condition_status16">PSP!$H$996</definedName>
    <definedName name="final_payment_condition_status17">PSP!$H$997</definedName>
    <definedName name="final_payment_condition_status18">PSP!$H$998</definedName>
    <definedName name="final_payment_condition_status19">PSP!$H$999</definedName>
    <definedName name="final_payment_condition_status2">PSP!$H$982</definedName>
    <definedName name="final_payment_condition_status20">PSP!$H$1000</definedName>
    <definedName name="final_payment_condition_status3">PSP!$H$983</definedName>
    <definedName name="final_payment_condition_status4">PSP!$H$984</definedName>
    <definedName name="final_payment_condition_status5">PSP!$H$985</definedName>
    <definedName name="final_payment_condition_status6">PSP!$H$986</definedName>
    <definedName name="final_payment_condition_status7">PSP!$H$987</definedName>
    <definedName name="final_payment_condition_status8">PSP!$H$988</definedName>
    <definedName name="final_payment_condition_status9">PSP!$H$989</definedName>
    <definedName name="final_payment_condition1">PSP!$C$981</definedName>
    <definedName name="final_payment_condition10">PSP!$C$990</definedName>
    <definedName name="final_payment_condition11">PSP!$C$991</definedName>
    <definedName name="final_payment_condition12">PSP!$C$992</definedName>
    <definedName name="final_payment_condition13">PSP!$C$993</definedName>
    <definedName name="final_payment_condition14">PSP!$C$994</definedName>
    <definedName name="final_payment_condition15">PSP!$C$995</definedName>
    <definedName name="final_payment_condition16">PSP!$C$996</definedName>
    <definedName name="final_payment_condition17">PSP!$C$997</definedName>
    <definedName name="final_payment_condition18">PSP!$C$998</definedName>
    <definedName name="final_payment_condition19">PSP!$C$999</definedName>
    <definedName name="final_payment_condition2">PSP!$C$982</definedName>
    <definedName name="final_payment_condition20">PSP!$C$1000</definedName>
    <definedName name="final_payment_condition3">PSP!$C$983</definedName>
    <definedName name="final_payment_condition4">PSP!$C$984</definedName>
    <definedName name="final_payment_condition5">PSP!$C$985</definedName>
    <definedName name="final_payment_condition6">PSP!$C$986</definedName>
    <definedName name="final_payment_condition7">PSP!$C$987</definedName>
    <definedName name="final_payment_condition8">PSP!$C$988</definedName>
    <definedName name="final_payment_condition9">PSP!$C$989</definedName>
    <definedName name="final_payment_date">PSP!$E$68</definedName>
    <definedName name="final_payment_financial_mechanism_amount">PSP!$K$225</definedName>
    <definedName name="final_payment_partner1">PSP!$G$68</definedName>
    <definedName name="final_payment_partner2">PSP!$H$68</definedName>
    <definedName name="final_payment_partner3">PSP!$I$68</definedName>
    <definedName name="final_payment_partner4">PSP!$J$68</definedName>
    <definedName name="final_payment_promoter">PSP!$F$68</definedName>
    <definedName name="final_payment_state_budget_amount">PSP!$K$227</definedName>
    <definedName name="final_payment_total">PSP!$K$68</definedName>
    <definedName name="final_percentage">PSP!$M$196</definedName>
    <definedName name="financial_mechanism">PSP!$F$28</definedName>
    <definedName name="first_extraordinary_payment_date">PSP!$E$64</definedName>
    <definedName name="first_extraordinary_payment_partner1">PSP!$G$64</definedName>
    <definedName name="first_extraordinary_payment_partner2">PSP!$H$64</definedName>
    <definedName name="first_extraordinary_payment_partner3">PSP!$I$64</definedName>
    <definedName name="first_extraordinary_payment_partner4">PSP!$J$64</definedName>
    <definedName name="first_extraordinary_payment_promoter">PSP!$F$64</definedName>
    <definedName name="first_extraordinary_payment_total">PSP!$K$64</definedName>
    <definedName name="first_interim_payment_date">PSP!$E$58</definedName>
    <definedName name="first_interim_payment_partner1">PSP!$G$58</definedName>
    <definedName name="first_interim_payment_partner2">PSP!$H$58</definedName>
    <definedName name="first_interim_payment_partner3">PSP!$I$58</definedName>
    <definedName name="first_interim_payment_partner4">PSP!$J$58</definedName>
    <definedName name="first_interim_payment_promoter">PSP!$F$58</definedName>
    <definedName name="first_interim_payment_total">PSP!$K$58</definedName>
    <definedName name="first_reimbursement_date">PSP!$E$70</definedName>
    <definedName name="first_reimbursement_partner1">PSP!$G$70</definedName>
    <definedName name="first_reimbursement_partner2">PSP!$H$70</definedName>
    <definedName name="first_reimbursement_partner3">PSP!$I$70</definedName>
    <definedName name="first_reimbursement_partner4">PSP!$J$70</definedName>
    <definedName name="first_reimbursement_promoter">PSP!$F$70</definedName>
    <definedName name="first_reimbursement_total">PSP!$K$70</definedName>
    <definedName name="fourth_extraordinary_payment_date">PSP!$E$67</definedName>
    <definedName name="fourth_extraordinary_payment_partner1">PSP!$G$67</definedName>
    <definedName name="fourth_extraordinary_payment_partner2">PSP!$H$67</definedName>
    <definedName name="fourth_extraordinary_payment_partner3">PSP!$I$67</definedName>
    <definedName name="fourth_extraordinary_payment_partner4">PSP!$J$67</definedName>
    <definedName name="fourth_extraordinary_payment_promoter">PSP!$F$67</definedName>
    <definedName name="fourth_extraordinary_payment_total">PSP!$K$67</definedName>
    <definedName name="fourth_interim_payment_date">PSP!$E$61</definedName>
    <definedName name="fourth_interim_payment_partner1">PSP!$G$61</definedName>
    <definedName name="fourth_interim_payment_partner2">PSP!$H$61</definedName>
    <definedName name="fourth_interim_payment_partner3">PSP!$I$61</definedName>
    <definedName name="fourth_interim_payment_partner4">PSP!$J$61</definedName>
    <definedName name="fourth_interim_payment_promoter">PSP!$F$61</definedName>
    <definedName name="fourth_interim_payment_total">PSP!$K$61</definedName>
    <definedName name="fourth_reimbursement_date">PSP!$E$73</definedName>
    <definedName name="fourth_reimbursement_partner1">PSP!$G$73</definedName>
    <definedName name="fourth_reimbursement_partner2">PSP!$H$73</definedName>
    <definedName name="fourth_reimbursement_partner3">PSP!$I$73</definedName>
    <definedName name="fourth_reimbursement_partner4">PSP!$J$73</definedName>
    <definedName name="fourth_reimbursement_promoter">PSP!$F$73</definedName>
    <definedName name="fourth_reimbursement_total">PSP!$K$73</definedName>
    <definedName name="fullfilment_status">DATA!$O$3:$O$8</definedName>
    <definedName name="further_contract_condition_remarks1">PSP!$I$873</definedName>
    <definedName name="further_contract_condition_remarks10">PSP!$I$882</definedName>
    <definedName name="further_contract_condition_remarks11">PSP!$I$883</definedName>
    <definedName name="further_contract_condition_remarks12">PSP!$I$884</definedName>
    <definedName name="further_contract_condition_remarks13">PSP!$I$885</definedName>
    <definedName name="further_contract_condition_remarks14">PSP!$I$886</definedName>
    <definedName name="further_contract_condition_remarks15">PSP!$I$887</definedName>
    <definedName name="further_contract_condition_remarks16">PSP!$I$888</definedName>
    <definedName name="further_contract_condition_remarks17">PSP!$I$889</definedName>
    <definedName name="further_contract_condition_remarks18">PSP!$I$890</definedName>
    <definedName name="further_contract_condition_remarks19">PSP!$I$891</definedName>
    <definedName name="further_contract_condition_remarks2">PSP!$I$874</definedName>
    <definedName name="further_contract_condition_remarks20">PSP!$I$892</definedName>
    <definedName name="further_contract_condition_remarks3">PSP!$I$875</definedName>
    <definedName name="further_contract_condition_remarks4">PSP!$I$876</definedName>
    <definedName name="further_contract_condition_remarks5">PSP!$I$877</definedName>
    <definedName name="further_contract_condition_remarks6">PSP!$I$878</definedName>
    <definedName name="further_contract_condition_remarks7">PSP!$I$879</definedName>
    <definedName name="further_contract_condition_remarks8">PSP!$I$880</definedName>
    <definedName name="further_contract_condition_remarks9">PSP!$I$881</definedName>
    <definedName name="further_contract_condition_status1">PSP!$H$873</definedName>
    <definedName name="further_contract_condition_status10">PSP!$H$882</definedName>
    <definedName name="further_contract_condition_status11">PSP!$H$883</definedName>
    <definedName name="further_contract_condition_status12">PSP!$H$884</definedName>
    <definedName name="further_contract_condition_status13">PSP!$H$885</definedName>
    <definedName name="further_contract_condition_status14">PSP!$H$886</definedName>
    <definedName name="further_contract_condition_status15">PSP!$H$887</definedName>
    <definedName name="further_contract_condition_status16">PSP!$H$888</definedName>
    <definedName name="further_contract_condition_status17">PSP!$H$889</definedName>
    <definedName name="further_contract_condition_status18">PSP!$H$890</definedName>
    <definedName name="further_contract_condition_status19">PSP!$H$891</definedName>
    <definedName name="further_contract_condition_status2">PSP!$H$874</definedName>
    <definedName name="further_contract_condition_status20">PSP!$H$892</definedName>
    <definedName name="further_contract_condition_status3">PSP!$H$875</definedName>
    <definedName name="further_contract_condition_status4">PSP!$H$876</definedName>
    <definedName name="further_contract_condition_status5">PSP!$H$877</definedName>
    <definedName name="further_contract_condition_status6">PSP!$H$878</definedName>
    <definedName name="further_contract_condition_status7">PSP!$H$879</definedName>
    <definedName name="further_contract_condition_status8">PSP!$H$880</definedName>
    <definedName name="further_contract_condition_status9">PSP!$H$881</definedName>
    <definedName name="further_contract_condition1">PSP!$C$873</definedName>
    <definedName name="further_contract_condition10">PSP!$C$882</definedName>
    <definedName name="further_contract_condition11">PSP!$C$883</definedName>
    <definedName name="further_contract_condition12">PSP!$C$884</definedName>
    <definedName name="further_contract_condition13">PSP!$C$885</definedName>
    <definedName name="further_contract_condition14">PSP!$C$886</definedName>
    <definedName name="further_contract_condition15">PSP!$C$887</definedName>
    <definedName name="further_contract_condition16">PSP!$C$888</definedName>
    <definedName name="further_contract_condition17">PSP!$C$889</definedName>
    <definedName name="further_contract_condition18">PSP!$C$890</definedName>
    <definedName name="further_contract_condition19">PSP!$C$891</definedName>
    <definedName name="further_contract_condition2">PSP!$C$874</definedName>
    <definedName name="further_contract_condition20">PSP!$C$892</definedName>
    <definedName name="further_contract_condition3">PSP!$C$875</definedName>
    <definedName name="further_contract_condition4">PSP!$C$876</definedName>
    <definedName name="further_contract_condition5">PSP!$C$877</definedName>
    <definedName name="further_contract_condition6">PSP!$C$878</definedName>
    <definedName name="further_contract_condition7">PSP!$C$879</definedName>
    <definedName name="further_contract_condition8">PSP!$C$880</definedName>
    <definedName name="further_contract_condition9">PSP!$C$881</definedName>
    <definedName name="gender_equality_contribution">PSP!$F$969</definedName>
    <definedName name="gender_equality_remarks">PSP!$H$969</definedName>
    <definedName name="grant_on_payments_settlement_percentage">PSP!$I$184</definedName>
    <definedName name="grant_paid_after_approval_applicant">PSP!$H$264</definedName>
    <definedName name="grant_paid_after_approval_partner1">PSP!$I$264</definedName>
    <definedName name="grant_paid_after_approval_partner2">PSP!$J$264</definedName>
    <definedName name="grant_paid_after_approval_partner3">PSP!$K$264</definedName>
    <definedName name="grant_paid_after_approval_partner4">PSP!$L$264</definedName>
    <definedName name="grant_paid_after_approval_total">PSP!$M$264</definedName>
    <definedName name="grant_requested_applicant">PSP!$F$46</definedName>
    <definedName name="grant_requested_partner1">PSP!$G$46</definedName>
    <definedName name="grant_requested_partner2">PSP!$H$46</definedName>
    <definedName name="grant_requested_partner3">PSP!$I$46</definedName>
    <definedName name="grant_requested_partner4">PSP!$J$46</definedName>
    <definedName name="grant_requested_total">PSP!$K$46</definedName>
    <definedName name="grant_settled_after_approval_applicant">PSP!$H$267</definedName>
    <definedName name="grant_settled_after_approval_partner1">PSP!$I$267</definedName>
    <definedName name="grant_settled_after_approval_partner2">PSP!$J$267</definedName>
    <definedName name="grant_settled_after_approval_partner3">PSP!$K$267</definedName>
    <definedName name="grant_settled_after_approval_partner4">PSP!$L$267</definedName>
    <definedName name="grant_settled_after_approval_total">PSP!$M$267</definedName>
    <definedName name="in_kind_acummulated_applicant">PSP!$H$273</definedName>
    <definedName name="in_kind_acummulated_partner1">PSP!$I$273</definedName>
    <definedName name="in_kind_acummulated_partner2">PSP!$J$273</definedName>
    <definedName name="in_kind_acummulated_partner3">PSP!$K$273</definedName>
    <definedName name="in_kind_acummulated_partner4">PSP!$L$273</definedName>
    <definedName name="in_kind_acummulated_total">PSP!$M$273</definedName>
    <definedName name="in_kind_applicant">PSP!$F$44</definedName>
    <definedName name="in_kind_claimed_applicant">PSP!$F$166</definedName>
    <definedName name="in_kind_claimed_partner1">PSP!$G$166</definedName>
    <definedName name="in_kind_claimed_partner2">PSP!$H$166</definedName>
    <definedName name="in_kind_claimed_partner3">PSP!$I$166</definedName>
    <definedName name="in_kind_claimed_partner4">PSP!$J$166</definedName>
    <definedName name="in_kind_claimed_total">PSP!$K$166</definedName>
    <definedName name="in_kind_partner1">PSP!$G$44</definedName>
    <definedName name="in_kind_partner2">PSP!$H$44</definedName>
    <definedName name="in_kind_partner3">PSP!$I$44</definedName>
    <definedName name="in_kind_partner4">PSP!$J$44</definedName>
    <definedName name="in_kind_rate">INKIND!$D$6</definedName>
    <definedName name="in_kind_settled_applicant">PSP!$F$127</definedName>
    <definedName name="in_kind_settled_partner1">PSP!$G$127</definedName>
    <definedName name="in_kind_settled_partner2">PSP!$H$127</definedName>
    <definedName name="in_kind_settled_partner3">PSP!$I$127</definedName>
    <definedName name="in_kind_settled_partner4">PSP!$J$127</definedName>
    <definedName name="in_kind_settled_total">PSP!$K$127</definedName>
    <definedName name="in_kind_share_on_co_financing_applicant">PSP!$H$276</definedName>
    <definedName name="in_kind_share_on_co_financing_partner1">PSP!$I$276</definedName>
    <definedName name="in_kind_share_on_co_financing_partner2">PSP!$J$276</definedName>
    <definedName name="in_kind_share_on_co_financing_partner3">PSP!$K$276</definedName>
    <definedName name="in_kind_share_on_co_financing_partner4">PSP!$L$276</definedName>
    <definedName name="in_kind_share_on_co_financing_total">PSP!$M$276</definedName>
    <definedName name="in_kind_total">PSP!$K$44</definedName>
    <definedName name="indirect_costs_applicant">PSP!$F$41</definedName>
    <definedName name="indirect_costs_claimed_applicant">PSP!$F$164</definedName>
    <definedName name="indirect_costs_claimed_partner1">PSP!$G$164</definedName>
    <definedName name="indirect_costs_claimed_partner2">PSP!$H$164</definedName>
    <definedName name="indirect_costs_claimed_partner3">PSP!$I$164</definedName>
    <definedName name="indirect_costs_claimed_partner4">PSP!$J$164</definedName>
    <definedName name="indirect_costs_claimed_total">PSP!$K$164</definedName>
    <definedName name="indirect_costs_method_applicant">PSP!$F$42</definedName>
    <definedName name="indirect_costs_method_partner1">PSP!$G$42</definedName>
    <definedName name="indirect_costs_method_partner2">PSP!$H$42</definedName>
    <definedName name="indirect_costs_method_partner3">PSP!$I$42</definedName>
    <definedName name="indirect_costs_method_partner4">PSP!$J$42</definedName>
    <definedName name="indirect_costs_partner1">PSP!$G$41</definedName>
    <definedName name="indirect_costs_partner1_PSP1">PSP!$G$102</definedName>
    <definedName name="indirect_costs_partner1_PSP10">PSP!$G$111</definedName>
    <definedName name="indirect_costs_partner1_PSP11">PSP!$G$112</definedName>
    <definedName name="indirect_costs_partner1_PSP12">PSP!$G$113</definedName>
    <definedName name="indirect_costs_partner1_PSP2">PSP!$G$103</definedName>
    <definedName name="indirect_costs_partner1_PSP3">PSP!$G$104</definedName>
    <definedName name="indirect_costs_partner1_PSP4">PSP!$G$105</definedName>
    <definedName name="indirect_costs_partner1_PSP5">PSP!$G$106</definedName>
    <definedName name="indirect_costs_partner1_PSP6">PSP!$G$107</definedName>
    <definedName name="indirect_costs_partner1_PSP7">PSP!$G$108</definedName>
    <definedName name="indirect_costs_partner1_PSP8">PSP!$G$109</definedName>
    <definedName name="indirect_costs_partner1_PSP9">PSP!$G$110</definedName>
    <definedName name="indirect_costs_partner2">PSP!$H$41</definedName>
    <definedName name="indirect_costs_partner2_PSP1">PSP!$H$102</definedName>
    <definedName name="indirect_costs_partner2_PSP10">PSP!$H$111</definedName>
    <definedName name="indirect_costs_partner2_PSP11">PSP!$H$112</definedName>
    <definedName name="indirect_costs_partner2_PSP12">PSP!$H$113</definedName>
    <definedName name="indirect_costs_partner2_PSP2">PSP!$H$103</definedName>
    <definedName name="indirect_costs_partner2_PSP3">PSP!$H$104</definedName>
    <definedName name="indirect_costs_partner2_PSP4">PSP!$H$105</definedName>
    <definedName name="indirect_costs_partner2_PSP5">PSP!$H$106</definedName>
    <definedName name="indirect_costs_partner2_PSP6">PSP!$H$107</definedName>
    <definedName name="indirect_costs_partner2_PSP7">PSP!$H$108</definedName>
    <definedName name="indirect_costs_partner2_PSP8">PSP!$H$109</definedName>
    <definedName name="indirect_costs_partner2_PSP9">PSP!$H$110</definedName>
    <definedName name="indirect_costs_partner3">PSP!$I$41</definedName>
    <definedName name="indirect_costs_partner3_PSP1">PSP!$I$102</definedName>
    <definedName name="indirect_costs_partner3_PSP10">PSP!$I$111</definedName>
    <definedName name="indirect_costs_partner3_PSP11">PSP!$I$112</definedName>
    <definedName name="indirect_costs_partner3_PSP12">PSP!$I$113</definedName>
    <definedName name="indirect_costs_partner3_PSP2">PSP!$I$103</definedName>
    <definedName name="indirect_costs_partner3_PSP3">PSP!$I$104</definedName>
    <definedName name="indirect_costs_partner3_PSP4">PSP!$I$105</definedName>
    <definedName name="indirect_costs_partner3_PSP5">PSP!$I$106</definedName>
    <definedName name="indirect_costs_partner3_PSP6">PSP!$I$107</definedName>
    <definedName name="indirect_costs_partner3_PSP7">PSP!$I$108</definedName>
    <definedName name="indirect_costs_partner3_PSP8">PSP!$I$109</definedName>
    <definedName name="indirect_costs_partner3_PSP9">PSP!$I$110</definedName>
    <definedName name="indirect_costs_partner4">PSP!$J$41</definedName>
    <definedName name="indirect_costs_partner4_PSP1">PSP!$J$102</definedName>
    <definedName name="indirect_costs_partner4_PSP10">PSP!$J$111</definedName>
    <definedName name="indirect_costs_partner4_PSP11">PSP!$J$112</definedName>
    <definedName name="indirect_costs_partner4_PSP12">PSP!$J$113</definedName>
    <definedName name="indirect_costs_partner4_PSP2">PSP!$J$103</definedName>
    <definedName name="indirect_costs_partner4_PSP3">PSP!$J$104</definedName>
    <definedName name="indirect_costs_partner4_PSP4">PSP!$J$105</definedName>
    <definedName name="indirect_costs_partner4_PSP5">PSP!$J$106</definedName>
    <definedName name="indirect_costs_partner4_PSP6">PSP!$J$107</definedName>
    <definedName name="indirect_costs_partner4_PSP7">PSP!$J$108</definedName>
    <definedName name="indirect_costs_partner4_PSP8">PSP!$J$109</definedName>
    <definedName name="indirect_costs_partner4_PSP9">PSP!$J$110</definedName>
    <definedName name="indirect_costs_promoter_PSP1">PSP!$F$102</definedName>
    <definedName name="indirect_costs_promoter_PSP10">PSP!$F$111</definedName>
    <definedName name="indirect_costs_promoter_PSP11">PSP!$F$112</definedName>
    <definedName name="indirect_costs_promoter_PSP12">PSP!$F$113</definedName>
    <definedName name="indirect_costs_promoter_PSP2">PSP!$F$103</definedName>
    <definedName name="indirect_costs_promoter_PSP3">PSP!$F$104</definedName>
    <definedName name="indirect_costs_promoter_PSP4">PSP!$F$105</definedName>
    <definedName name="indirect_costs_promoter_PSP5">PSP!$F$106</definedName>
    <definedName name="indirect_costs_promoter_PSP6">PSP!$F$107</definedName>
    <definedName name="indirect_costs_promoter_PSP7">PSP!$F$108</definedName>
    <definedName name="indirect_costs_promoter_PSP8">PSP!$F$109</definedName>
    <definedName name="indirect_costs_promoter_PSP9">PSP!$F$110</definedName>
    <definedName name="indirect_costs_settled_applicant">PSP!$F$101</definedName>
    <definedName name="indirect_costs_settled_partner1">PSP!$G$101</definedName>
    <definedName name="indirect_costs_settled_partner2">PSP!$H$101</definedName>
    <definedName name="indirect_costs_settled_partner3">PSP!$I$101</definedName>
    <definedName name="indirect_costs_settled_partner4">PSP!$J$101</definedName>
    <definedName name="indirect_costs_settled_total">PSP!$K$101</definedName>
    <definedName name="indirect_costs_total">PSP!$K$41</definedName>
    <definedName name="indirect_costs_total_PSP1">PSP!$K$102</definedName>
    <definedName name="indirect_costs_total_PSP10">PSP!$K$111</definedName>
    <definedName name="indirect_costs_total_PSP11">PSP!$K$112</definedName>
    <definedName name="indirect_costs_total_PSP12">PSP!$K$113</definedName>
    <definedName name="indirect_costs_total_PSP2">PSP!$K$103</definedName>
    <definedName name="indirect_costs_total_PSP3">PSP!$K$104</definedName>
    <definedName name="indirect_costs_total_PSP4">PSP!$K$105</definedName>
    <definedName name="indirect_costs_total_PSP5">PSP!$K$106</definedName>
    <definedName name="indirect_costs_total_PSP6">PSP!$K$107</definedName>
    <definedName name="indirect_costs_total_PSP7">PSP!$K$108</definedName>
    <definedName name="indirect_costs_total_PSP8">PSP!$K$109</definedName>
    <definedName name="indirect_costs_total_PSP9">PSP!$K$110</definedName>
    <definedName name="ineligible_claimed_costs_applicant">PSP!$F$167</definedName>
    <definedName name="ineligible_claimed_costs_partner1">PSP!$G$167</definedName>
    <definedName name="ineligible_claimed_costs_partner2">PSP!$H$167</definedName>
    <definedName name="ineligible_claimed_costs_partner3">PSP!$I$167</definedName>
    <definedName name="ineligible_claimed_costs_partner4">PSP!$J$167</definedName>
    <definedName name="ineligible_claimed_costs_total">PSP!$K$167</definedName>
    <definedName name="ineligible_claimed_direct_costs_applicant">PSP!$F$169</definedName>
    <definedName name="ineligible_claimed_direct_costs_partner1">PSP!$G$169</definedName>
    <definedName name="ineligible_claimed_direct_costs_partner2">PSP!$H$169</definedName>
    <definedName name="ineligible_claimed_direct_costs_partner3">PSP!$I$169</definedName>
    <definedName name="ineligible_claimed_direct_costs_partner4">PSP!$J$169</definedName>
    <definedName name="ineligible_claimed_direct_costs_total">PSP!$K$169</definedName>
    <definedName name="ineligible_claimed_in_kind_applicant">PSP!$F$172</definedName>
    <definedName name="ineligible_claimed_in_kind_partner1">PSP!$G$172</definedName>
    <definedName name="ineligible_claimed_in_kind_partner2">PSP!$H$172</definedName>
    <definedName name="ineligible_claimed_in_kind_partner3">PSP!$I$172</definedName>
    <definedName name="ineligible_claimed_in_kind_partner4">PSP!$J$172</definedName>
    <definedName name="ineligible_claimed_in_kind_total">PSP!$K$172</definedName>
    <definedName name="ineligible_claimed_indirect_costs_applicant">PSP!$F$170</definedName>
    <definedName name="ineligible_claimed_indirect_costs_partner1">PSP!$G$170</definedName>
    <definedName name="ineligible_claimed_indirect_costs_partner2">PSP!$H$170</definedName>
    <definedName name="ineligible_claimed_indirect_costs_partner3">PSP!$I$170</definedName>
    <definedName name="ineligible_claimed_indirect_costs_partner4">PSP!$J$170</definedName>
    <definedName name="ineligible_claimed_indirect_costs_total">PSP!$K$170</definedName>
    <definedName name="ineligible_claimed_reserve_applicant">PSP!$F$171</definedName>
    <definedName name="ineligible_claimed_reserve_partner1">PSP!$G$171</definedName>
    <definedName name="ineligible_claimed_reserve_partner2">PSP!$H$171</definedName>
    <definedName name="ineligible_claimed_reserve_partner3">PSP!$I$171</definedName>
    <definedName name="ineligible_claimed_reserve_partner4">PSP!$J$171</definedName>
    <definedName name="ineligible_claimed_reserve_total">PSP!$K$171</definedName>
    <definedName name="ineligible_expenses_applicant">PSP!$F$140</definedName>
    <definedName name="ineligible_expenses_partner1">PSP!$G$140</definedName>
    <definedName name="ineligible_expenses_partner2">PSP!$H$140</definedName>
    <definedName name="ineligible_expenses_partner3">PSP!$I$140</definedName>
    <definedName name="ineligible_expenses_partner4">PSP!$J$140</definedName>
    <definedName name="ineligible_expenses_total">PSP!$K$140</definedName>
    <definedName name="inkind_contributions_partner1_PSP1">PSP!$G$128</definedName>
    <definedName name="inkind_contributions_partner1_PSP10">PSP!$G$137</definedName>
    <definedName name="inkind_contributions_partner1_PSP11">PSP!$G$138</definedName>
    <definedName name="inkind_contributions_partner1_PSP12">PSP!$G$139</definedName>
    <definedName name="inkind_contributions_partner1_PSP2">PSP!$G$129</definedName>
    <definedName name="inkind_contributions_partner1_PSP3">PSP!$G$130</definedName>
    <definedName name="inkind_contributions_partner1_PSP4">PSP!$G$131</definedName>
    <definedName name="inkind_contributions_partner1_PSP5">PSP!$G$132</definedName>
    <definedName name="inkind_contributions_partner1_PSP6">PSP!$G$133</definedName>
    <definedName name="inkind_contributions_partner1_PSP7">PSP!$G$134</definedName>
    <definedName name="inkind_contributions_partner1_PSP8">PSP!$G$135</definedName>
    <definedName name="inkind_contributions_partner1_PSP9">PSP!$G$136</definedName>
    <definedName name="inkind_contributions_partner2_PSP1">PSP!$H$128</definedName>
    <definedName name="inkind_contributions_partner2_PSP10">PSP!$H$137</definedName>
    <definedName name="inkind_contributions_partner2_PSP11">PSP!$H$138</definedName>
    <definedName name="inkind_contributions_partner2_PSP12">PSP!$H$139</definedName>
    <definedName name="inkind_contributions_partner2_PSP2">PSP!$H$129</definedName>
    <definedName name="inkind_contributions_partner2_PSP3">PSP!$H$130</definedName>
    <definedName name="inkind_contributions_partner2_PSP4">PSP!$H$131</definedName>
    <definedName name="inkind_contributions_partner2_PSP5">PSP!$H$132</definedName>
    <definedName name="inkind_contributions_partner2_PSP6">PSP!$H$133</definedName>
    <definedName name="inkind_contributions_partner2_PSP7">PSP!$H$134</definedName>
    <definedName name="inkind_contributions_partner2_PSP8">PSP!$H$135</definedName>
    <definedName name="inkind_contributions_partner2_PSP9">PSP!$H$136</definedName>
    <definedName name="inkind_contributions_partner3_PSP1">PSP!$I$128</definedName>
    <definedName name="inkind_contributions_partner3_PSP10">PSP!$I$137</definedName>
    <definedName name="inkind_contributions_partner3_PSP11">PSP!$I$138</definedName>
    <definedName name="inkind_contributions_partner3_PSP12">PSP!$I$139</definedName>
    <definedName name="inkind_contributions_partner3_PSP2">PSP!$I$129</definedName>
    <definedName name="inkind_contributions_partner3_PSP3">PSP!$I$130</definedName>
    <definedName name="inkind_contributions_partner3_PSP4">PSP!$I$131</definedName>
    <definedName name="inkind_contributions_partner3_PSP5">PSP!$I$132</definedName>
    <definedName name="inkind_contributions_partner3_PSP6">PSP!$I$133</definedName>
    <definedName name="inkind_contributions_partner3_PSP7">PSP!$I$134</definedName>
    <definedName name="inkind_contributions_partner3_PSP8">PSP!$I$135</definedName>
    <definedName name="inkind_contributions_partner3_PSP9">PSP!$I$136</definedName>
    <definedName name="inkind_contributions_partner4_PSP1">PSP!$J$128</definedName>
    <definedName name="inkind_contributions_partner4_PSP10">PSP!$J$137</definedName>
    <definedName name="inkind_contributions_partner4_PSP11">PSP!$J$138</definedName>
    <definedName name="inkind_contributions_partner4_PSP12">PSP!$J$139</definedName>
    <definedName name="inkind_contributions_partner4_PSP2">PSP!$J$129</definedName>
    <definedName name="inkind_contributions_partner4_PSP3">PSP!$J$130</definedName>
    <definedName name="inkind_contributions_partner4_PSP4">PSP!$J$131</definedName>
    <definedName name="inkind_contributions_partner4_PSP5">PSP!$J$132</definedName>
    <definedName name="inkind_contributions_partner4_PSP6">PSP!$J$133</definedName>
    <definedName name="inkind_contributions_partner4_PSP7">PSP!$J$134</definedName>
    <definedName name="inkind_contributions_partner4_PSP8">PSP!$J$135</definedName>
    <definedName name="inkind_contributions_partner4_PSP9">PSP!$J$136</definedName>
    <definedName name="inkind_contributions_promoter_PSP1">PSP!$F$128</definedName>
    <definedName name="inkind_contributions_promoter_PSP10">PSP!$F$137</definedName>
    <definedName name="inkind_contributions_promoter_PSP11">PSP!$F$138</definedName>
    <definedName name="inkind_contributions_promoter_PSP12">PSP!$F$139</definedName>
    <definedName name="inkind_contributions_promoter_PSP2">PSP!$F$129</definedName>
    <definedName name="inkind_contributions_promoter_PSP3">PSP!$F$130</definedName>
    <definedName name="inkind_contributions_promoter_PSP4">PSP!$F$131</definedName>
    <definedName name="inkind_contributions_promoter_PSP5">PSP!$F$132</definedName>
    <definedName name="inkind_contributions_promoter_PSP6">PSP!$F$133</definedName>
    <definedName name="inkind_contributions_promoter_PSP7">PSP!$F$134</definedName>
    <definedName name="inkind_contributions_promoter_PSP8">PSP!$F$135</definedName>
    <definedName name="inkind_contributions_promoter_PSP9">PSP!$F$136</definedName>
    <definedName name="inkind_contributions_total_PSP1">PSP!$K$128</definedName>
    <definedName name="inkind_contributions_total_PSP10">PSP!$K$137</definedName>
    <definedName name="inkind_contributions_total_PSP11">PSP!$K$138</definedName>
    <definedName name="inkind_contributions_total_PSP12">PSP!$K$139</definedName>
    <definedName name="inkind_contributions_total_PSP2">PSP!$K$129</definedName>
    <definedName name="inkind_contributions_total_PSP3">PSP!$K$130</definedName>
    <definedName name="inkind_contributions_total_PSP4">PSP!$K$131</definedName>
    <definedName name="inkind_contributions_total_PSP5">PSP!$K$132</definedName>
    <definedName name="inkind_contributions_total_PSP6">PSP!$K$133</definedName>
    <definedName name="inkind_contributions_total_PSP7">PSP!$K$134</definedName>
    <definedName name="inkind_contributions_total_PSP8">PSP!$K$135</definedName>
    <definedName name="inkind_contributions_total_PSP9">PSP!$K$136</definedName>
    <definedName name="interim_percentage1">PSP!$G$196</definedName>
    <definedName name="interim_percentage2">PSP!$H$196</definedName>
    <definedName name="interim_percentage3">PSP!$I$196</definedName>
    <definedName name="interim_percentage4">PSP!$J$196</definedName>
    <definedName name="interim_percentage5">PSP!$K$196</definedName>
    <definedName name="interim_percentage6">PSP!$L$196</definedName>
    <definedName name="interim_risk_score1">PSP!$H$825</definedName>
    <definedName name="interim_risk_score10">PSP!$H$834</definedName>
    <definedName name="interim_risk_score11">PSP!$H$835</definedName>
    <definedName name="interim_risk_score12">PSP!$H$836</definedName>
    <definedName name="interim_risk_score13">PSP!$H$837</definedName>
    <definedName name="interim_risk_score14">PSP!$H$838</definedName>
    <definedName name="interim_risk_score15">PSP!$H$839</definedName>
    <definedName name="interim_risk_score16">PSP!$H$840</definedName>
    <definedName name="interim_risk_score17">PSP!$H$841</definedName>
    <definedName name="interim_risk_score18">PSP!$H$842</definedName>
    <definedName name="interim_risk_score19">PSP!$H$843</definedName>
    <definedName name="interim_risk_score2">PSP!$H$826</definedName>
    <definedName name="interim_risk_score20">PSP!$H$844</definedName>
    <definedName name="interim_risk_score21">PSP!$H$845</definedName>
    <definedName name="interim_risk_score22">PSP!$H$846</definedName>
    <definedName name="interim_risk_score23">PSP!$H$847</definedName>
    <definedName name="interim_risk_score24">PSP!$H$848</definedName>
    <definedName name="interim_risk_score3">PSP!$H$827</definedName>
    <definedName name="interim_risk_score4">PSP!$H$828</definedName>
    <definedName name="interim_risk_score5">PSP!$H$829</definedName>
    <definedName name="interim_risk_score6">PSP!$H$830</definedName>
    <definedName name="interim_risk_score7">PSP!$H$831</definedName>
    <definedName name="interim_risk_score8">PSP!$H$832</definedName>
    <definedName name="interim_risk_score9">PSP!$H$833</definedName>
    <definedName name="is_annual_report">PSP!$F$30</definedName>
    <definedName name="is_entitled_for_next_payment">PSP!$I$209</definedName>
    <definedName name="is_final_report">PSP!$F$32</definedName>
    <definedName name="is_payment_requested">PSP!$I$255</definedName>
    <definedName name="last_payment_paid">PSP!$F$15</definedName>
    <definedName name="milestone_activity_relation1">PSP!$F$776</definedName>
    <definedName name="milestone_activity_relation10">PSP!$F$785</definedName>
    <definedName name="milestone_activity_relation11">PSP!$F$786</definedName>
    <definedName name="milestone_activity_relation12">PSP!$F$787</definedName>
    <definedName name="milestone_activity_relation13">PSP!$F$788</definedName>
    <definedName name="milestone_activity_relation14">PSP!$F$789</definedName>
    <definedName name="milestone_activity_relation15">PSP!$F$790</definedName>
    <definedName name="milestone_activity_relation16">PSP!$F$791</definedName>
    <definedName name="milestone_activity_relation17">PSP!$F$792</definedName>
    <definedName name="milestone_activity_relation18">PSP!$F$793</definedName>
    <definedName name="milestone_activity_relation19">PSP!$F$794</definedName>
    <definedName name="milestone_activity_relation2">PSP!$F$777</definedName>
    <definedName name="milestone_activity_relation20">PSP!$F$795</definedName>
    <definedName name="milestone_activity_relation21">PSP!$F$796</definedName>
    <definedName name="milestone_activity_relation22">PSP!$F$797</definedName>
    <definedName name="milestone_activity_relation23">PSP!$F$798</definedName>
    <definedName name="milestone_activity_relation24">PSP!$F$799</definedName>
    <definedName name="milestone_activity_relation25">PSP!$F$800</definedName>
    <definedName name="milestone_activity_relation26">PSP!$F$801</definedName>
    <definedName name="milestone_activity_relation27">PSP!$F$802</definedName>
    <definedName name="milestone_activity_relation28">PSP!$F$803</definedName>
    <definedName name="milestone_activity_relation29">PSP!$F$804</definedName>
    <definedName name="milestone_activity_relation3">PSP!$F$778</definedName>
    <definedName name="milestone_activity_relation30">PSP!$F$805</definedName>
    <definedName name="milestone_activity_relation31">PSP!$F$806</definedName>
    <definedName name="milestone_activity_relation32">PSP!$F$807</definedName>
    <definedName name="milestone_activity_relation33">PSP!$F$808</definedName>
    <definedName name="milestone_activity_relation34">PSP!$F$809</definedName>
    <definedName name="milestone_activity_relation35">PSP!$F$810</definedName>
    <definedName name="milestone_activity_relation36">PSP!$F$811</definedName>
    <definedName name="milestone_activity_relation37">PSP!$F$812</definedName>
    <definedName name="milestone_activity_relation38">PSP!$F$813</definedName>
    <definedName name="milestone_activity_relation39">PSP!$F$814</definedName>
    <definedName name="milestone_activity_relation4">PSP!$F$779</definedName>
    <definedName name="milestone_activity_relation40">PSP!$F$815</definedName>
    <definedName name="milestone_activity_relation5">PSP!$F$780</definedName>
    <definedName name="milestone_activity_relation6">PSP!$F$781</definedName>
    <definedName name="milestone_activity_relation7">PSP!$F$782</definedName>
    <definedName name="milestone_activity_relation8">PSP!$F$783</definedName>
    <definedName name="milestone_activity_relation9">PSP!$F$784</definedName>
    <definedName name="milestone_current_value1">PSP!$J$776</definedName>
    <definedName name="milestone_current_value10">PSP!$J$785</definedName>
    <definedName name="milestone_current_value11">PSP!$J$786</definedName>
    <definedName name="milestone_current_value12">PSP!$J$787</definedName>
    <definedName name="milestone_current_value13">PSP!$J$788</definedName>
    <definedName name="milestone_current_value14">PSP!$J$789</definedName>
    <definedName name="milestone_current_value15">PSP!$J$790</definedName>
    <definedName name="milestone_current_value16">PSP!$J$791</definedName>
    <definedName name="milestone_current_value17">PSP!$J$792</definedName>
    <definedName name="milestone_current_value18">PSP!$J$793</definedName>
    <definedName name="milestone_current_value19">PSP!$J$794</definedName>
    <definedName name="milestone_current_value2">PSP!$J$777</definedName>
    <definedName name="milestone_current_value20">PSP!$J$795</definedName>
    <definedName name="milestone_current_value21">PSP!$J$796</definedName>
    <definedName name="milestone_current_value22">PSP!$J$797</definedName>
    <definedName name="milestone_current_value23">PSP!$J$798</definedName>
    <definedName name="milestone_current_value24">PSP!$J$799</definedName>
    <definedName name="milestone_current_value25">PSP!$J$800</definedName>
    <definedName name="milestone_current_value26">PSP!$J$801</definedName>
    <definedName name="milestone_current_value27">PSP!$J$802</definedName>
    <definedName name="milestone_current_value28">PSP!$J$803</definedName>
    <definedName name="milestone_current_value29">PSP!$J$804</definedName>
    <definedName name="milestone_current_value3">PSP!$J$778</definedName>
    <definedName name="milestone_current_value30">PSP!$J$805</definedName>
    <definedName name="milestone_current_value31">PSP!$J$806</definedName>
    <definedName name="milestone_current_value32">PSP!$J$807</definedName>
    <definedName name="milestone_current_value33">PSP!$J$808</definedName>
    <definedName name="milestone_current_value34">PSP!$J$809</definedName>
    <definedName name="milestone_current_value35">PSP!$J$810</definedName>
    <definedName name="milestone_current_value36">PSP!$J$811</definedName>
    <definedName name="milestone_current_value37">PSP!$J$812</definedName>
    <definedName name="milestone_current_value38">PSP!$J$813</definedName>
    <definedName name="milestone_current_value39">PSP!$J$814</definedName>
    <definedName name="milestone_current_value4">PSP!$J$779</definedName>
    <definedName name="milestone_current_value40">PSP!$J$815</definedName>
    <definedName name="milestone_current_value5">PSP!$J$780</definedName>
    <definedName name="milestone_current_value6">PSP!$J$781</definedName>
    <definedName name="milestone_current_value7">PSP!$J$782</definedName>
    <definedName name="milestone_current_value8">PSP!$J$783</definedName>
    <definedName name="milestone_current_value9">PSP!$J$784</definedName>
    <definedName name="milestone_expected_end_date1">PSP!$I$776</definedName>
    <definedName name="milestone_expected_end_date10">PSP!$I$785</definedName>
    <definedName name="milestone_expected_end_date11">PSP!$I$786</definedName>
    <definedName name="milestone_expected_end_date12">PSP!$I$787</definedName>
    <definedName name="milestone_expected_end_date13">PSP!$I$788</definedName>
    <definedName name="milestone_expected_end_date14">PSP!$I$789</definedName>
    <definedName name="milestone_expected_end_date15">PSP!$I$790</definedName>
    <definedName name="milestone_expected_end_date16">PSP!$I$791</definedName>
    <definedName name="milestone_expected_end_date17">PSP!$I$792</definedName>
    <definedName name="milestone_expected_end_date18">PSP!$I$793</definedName>
    <definedName name="milestone_expected_end_date19">PSP!$I$794</definedName>
    <definedName name="milestone_expected_end_date2">PSP!$I$777</definedName>
    <definedName name="milestone_expected_end_date20">PSP!$I$795</definedName>
    <definedName name="milestone_expected_end_date21">PSP!$I$796</definedName>
    <definedName name="milestone_expected_end_date22">PSP!$I$797</definedName>
    <definedName name="milestone_expected_end_date23">PSP!$I$798</definedName>
    <definedName name="milestone_expected_end_date24">PSP!$I$799</definedName>
    <definedName name="milestone_expected_end_date25">PSP!$I$800</definedName>
    <definedName name="milestone_expected_end_date26">PSP!$I$801</definedName>
    <definedName name="milestone_expected_end_date27">PSP!$I$802</definedName>
    <definedName name="milestone_expected_end_date28">PSP!$I$803</definedName>
    <definedName name="milestone_expected_end_date29">PSP!$I$804</definedName>
    <definedName name="milestone_expected_end_date3">PSP!$I$778</definedName>
    <definedName name="milestone_expected_end_date30">PSP!$I$805</definedName>
    <definedName name="milestone_expected_end_date31">PSP!$I$806</definedName>
    <definedName name="milestone_expected_end_date32">PSP!$I$807</definedName>
    <definedName name="milestone_expected_end_date33">PSP!$I$808</definedName>
    <definedName name="milestone_expected_end_date34">PSP!$I$809</definedName>
    <definedName name="milestone_expected_end_date35">PSP!$I$810</definedName>
    <definedName name="milestone_expected_end_date36">PSP!$I$811</definedName>
    <definedName name="milestone_expected_end_date37">PSP!$I$812</definedName>
    <definedName name="milestone_expected_end_date38">PSP!$I$813</definedName>
    <definedName name="milestone_expected_end_date39">PSP!$I$814</definedName>
    <definedName name="milestone_expected_end_date4">PSP!$I$779</definedName>
    <definedName name="milestone_expected_end_date40">PSP!$I$815</definedName>
    <definedName name="milestone_expected_end_date5">PSP!$I$780</definedName>
    <definedName name="milestone_expected_end_date6">PSP!$I$781</definedName>
    <definedName name="milestone_expected_end_date7">PSP!$I$782</definedName>
    <definedName name="milestone_expected_end_date8">PSP!$I$783</definedName>
    <definedName name="milestone_expected_end_date9">PSP!$I$784</definedName>
    <definedName name="milestone_expected_start_date1">PSP!$H$776</definedName>
    <definedName name="milestone_expected_start_date10">PSP!$H$785</definedName>
    <definedName name="milestone_expected_start_date11">PSP!$H$786</definedName>
    <definedName name="milestone_expected_start_date12">PSP!$H$787</definedName>
    <definedName name="milestone_expected_start_date13">PSP!$H$788</definedName>
    <definedName name="milestone_expected_start_date14">PSP!$H$789</definedName>
    <definedName name="milestone_expected_start_date15">PSP!$H$790</definedName>
    <definedName name="milestone_expected_start_date16">PSP!$H$791</definedName>
    <definedName name="milestone_expected_start_date17">PSP!$H$792</definedName>
    <definedName name="milestone_expected_start_date18">PSP!$H$793</definedName>
    <definedName name="milestone_expected_start_date19">PSP!$H$794</definedName>
    <definedName name="milestone_expected_start_date2">PSP!$H$777</definedName>
    <definedName name="milestone_expected_start_date20">PSP!$H$795</definedName>
    <definedName name="milestone_expected_start_date21">PSP!$H$796</definedName>
    <definedName name="milestone_expected_start_date22">PSP!$H$797</definedName>
    <definedName name="milestone_expected_start_date23">PSP!$H$798</definedName>
    <definedName name="milestone_expected_start_date24">PSP!$H$799</definedName>
    <definedName name="milestone_expected_start_date25">PSP!$H$800</definedName>
    <definedName name="milestone_expected_start_date26">PSP!$H$801</definedName>
    <definedName name="milestone_expected_start_date27">PSP!$H$802</definedName>
    <definedName name="milestone_expected_start_date28">PSP!$H$803</definedName>
    <definedName name="milestone_expected_start_date29">PSP!$H$804</definedName>
    <definedName name="milestone_expected_start_date3">PSP!$H$778</definedName>
    <definedName name="milestone_expected_start_date30">PSP!$H$805</definedName>
    <definedName name="milestone_expected_start_date31">PSP!$H$806</definedName>
    <definedName name="milestone_expected_start_date32">PSP!$H$807</definedName>
    <definedName name="milestone_expected_start_date33">PSP!$H$808</definedName>
    <definedName name="milestone_expected_start_date34">PSP!$H$809</definedName>
    <definedName name="milestone_expected_start_date35">PSP!$H$810</definedName>
    <definedName name="milestone_expected_start_date36">PSP!$H$811</definedName>
    <definedName name="milestone_expected_start_date37">PSP!$H$812</definedName>
    <definedName name="milestone_expected_start_date38">PSP!$H$813</definedName>
    <definedName name="milestone_expected_start_date39">PSP!$H$814</definedName>
    <definedName name="milestone_expected_start_date4">PSP!$H$779</definedName>
    <definedName name="milestone_expected_start_date40">PSP!$H$815</definedName>
    <definedName name="milestone_expected_start_date5">PSP!$H$780</definedName>
    <definedName name="milestone_expected_start_date6">PSP!$H$781</definedName>
    <definedName name="milestone_expected_start_date7">PSP!$H$782</definedName>
    <definedName name="milestone_expected_start_date8">PSP!$H$783</definedName>
    <definedName name="milestone_expected_start_date9">PSP!$H$784</definedName>
    <definedName name="milestone_importance1">PSP!$G$776</definedName>
    <definedName name="milestone_importance10">PSP!$G$785</definedName>
    <definedName name="milestone_importance11">PSP!$G$786</definedName>
    <definedName name="milestone_importance12">PSP!$G$787</definedName>
    <definedName name="milestone_importance13">PSP!$G$788</definedName>
    <definedName name="milestone_importance14">PSP!$G$789</definedName>
    <definedName name="milestone_importance15">PSP!$G$790</definedName>
    <definedName name="milestone_importance16">PSP!$G$791</definedName>
    <definedName name="milestone_importance17">PSP!$G$792</definedName>
    <definedName name="milestone_importance18">PSP!$G$793</definedName>
    <definedName name="milestone_importance19">PSP!$G$794</definedName>
    <definedName name="milestone_importance2">PSP!$G$777</definedName>
    <definedName name="milestone_importance20">PSP!$G$795</definedName>
    <definedName name="milestone_importance21">PSP!$G$796</definedName>
    <definedName name="milestone_importance22">PSP!$G$797</definedName>
    <definedName name="milestone_importance23">PSP!$G$798</definedName>
    <definedName name="milestone_importance24">PSP!$G$799</definedName>
    <definedName name="milestone_importance25">PSP!$G$800</definedName>
    <definedName name="milestone_importance26">PSP!$G$801</definedName>
    <definedName name="milestone_importance27">PSP!$G$802</definedName>
    <definedName name="milestone_importance28">PSP!$G$803</definedName>
    <definedName name="milestone_importance29">PSP!$G$804</definedName>
    <definedName name="milestone_importance3">PSP!$G$778</definedName>
    <definedName name="milestone_importance30">PSP!$G$805</definedName>
    <definedName name="milestone_importance31">PSP!$G$806</definedName>
    <definedName name="milestone_importance32">PSP!$G$807</definedName>
    <definedName name="milestone_importance33">PSP!$G$808</definedName>
    <definedName name="milestone_importance34">PSP!$G$809</definedName>
    <definedName name="milestone_importance35">PSP!$G$810</definedName>
    <definedName name="milestone_importance36">PSP!$G$811</definedName>
    <definedName name="milestone_importance37">PSP!$G$812</definedName>
    <definedName name="milestone_importance38">PSP!$G$813</definedName>
    <definedName name="milestone_importance39">PSP!$G$814</definedName>
    <definedName name="milestone_importance4">PSP!$G$779</definedName>
    <definedName name="milestone_importance40">PSP!$G$815</definedName>
    <definedName name="milestone_importance5">PSP!$G$780</definedName>
    <definedName name="milestone_importance6">PSP!$G$781</definedName>
    <definedName name="milestone_importance7">PSP!$G$782</definedName>
    <definedName name="milestone_importance8">PSP!$G$783</definedName>
    <definedName name="milestone_importance9">PSP!$G$784</definedName>
    <definedName name="milestone_remarks1">PSP!$K$776</definedName>
    <definedName name="milestone_remarks10">PSP!$K$785</definedName>
    <definedName name="milestone_remarks11">PSP!$K$786</definedName>
    <definedName name="milestone_remarks12">PSP!$K$787</definedName>
    <definedName name="milestone_remarks13">PSP!$K$788</definedName>
    <definedName name="milestone_remarks14">PSP!$K$789</definedName>
    <definedName name="milestone_remarks15">PSP!$K$790</definedName>
    <definedName name="milestone_remarks16">PSP!$K$791</definedName>
    <definedName name="milestone_remarks17">PSP!$K$792</definedName>
    <definedName name="milestone_remarks18">PSP!$K$793</definedName>
    <definedName name="milestone_remarks19">PSP!$K$794</definedName>
    <definedName name="milestone_remarks2">PSP!$K$777</definedName>
    <definedName name="milestone_remarks20">PSP!$K$795</definedName>
    <definedName name="milestone_remarks21">PSP!$K$796</definedName>
    <definedName name="milestone_remarks22">PSP!$K$797</definedName>
    <definedName name="milestone_remarks23">PSP!$K$798</definedName>
    <definedName name="milestone_remarks24">PSP!$K$799</definedName>
    <definedName name="milestone_remarks25">PSP!$K$800</definedName>
    <definedName name="milestone_remarks26">PSP!$K$801</definedName>
    <definedName name="milestone_remarks27">PSP!$K$802</definedName>
    <definedName name="milestone_remarks28">PSP!$K$803</definedName>
    <definedName name="milestone_remarks29">PSP!$K$804</definedName>
    <definedName name="milestone_remarks3">PSP!$K$778</definedName>
    <definedName name="milestone_remarks30">PSP!$K$805</definedName>
    <definedName name="milestone_remarks31">PSP!$K$806</definedName>
    <definedName name="milestone_remarks32">PSP!$K$807</definedName>
    <definedName name="milestone_remarks33">PSP!$K$808</definedName>
    <definedName name="milestone_remarks34">PSP!$K$809</definedName>
    <definedName name="milestone_remarks35">PSP!$K$810</definedName>
    <definedName name="milestone_remarks36">PSP!$K$811</definedName>
    <definedName name="milestone_remarks37">PSP!$K$812</definedName>
    <definedName name="milestone_remarks38">PSP!$K$813</definedName>
    <definedName name="milestone_remarks39">PSP!$K$814</definedName>
    <definedName name="milestone_remarks4">PSP!$K$779</definedName>
    <definedName name="milestone_remarks40">PSP!$K$815</definedName>
    <definedName name="milestone_remarks5">PSP!$K$780</definedName>
    <definedName name="milestone_remarks6">PSP!$K$781</definedName>
    <definedName name="milestone_remarks7">PSP!$K$782</definedName>
    <definedName name="milestone_remarks8">PSP!$K$783</definedName>
    <definedName name="milestone_remarks9">PSP!$K$784</definedName>
    <definedName name="milestone1">PSP!$C$776</definedName>
    <definedName name="milestone10">PSP!$C$785</definedName>
    <definedName name="milestone11">PSP!$C$786</definedName>
    <definedName name="milestone12">PSP!$C$787</definedName>
    <definedName name="milestone13">PSP!$C$788</definedName>
    <definedName name="milestone14">PSP!$C$789</definedName>
    <definedName name="milestone15">PSP!$C$790</definedName>
    <definedName name="milestone16">PSP!$C$791</definedName>
    <definedName name="milestone17">PSP!$C$792</definedName>
    <definedName name="milestone18">PSP!$C$793</definedName>
    <definedName name="milestone19">PSP!$C$794</definedName>
    <definedName name="milestone2">PSP!$C$777</definedName>
    <definedName name="milestone20">PSP!$C$795</definedName>
    <definedName name="milestone21">PSP!$C$796</definedName>
    <definedName name="milestone22">PSP!$C$797</definedName>
    <definedName name="milestone23">PSP!$C$798</definedName>
    <definedName name="milestone24">PSP!$C$799</definedName>
    <definedName name="milestone25">PSP!$C$800</definedName>
    <definedName name="milestone26">PSP!$C$801</definedName>
    <definedName name="milestone27">PSP!$C$802</definedName>
    <definedName name="milestone28">PSP!$C$803</definedName>
    <definedName name="milestone29">PSP!$C$804</definedName>
    <definedName name="milestone3">PSP!$C$778</definedName>
    <definedName name="milestone30">PSP!$C$805</definedName>
    <definedName name="milestone31">PSP!$C$806</definedName>
    <definedName name="milestone32">PSP!$C$807</definedName>
    <definedName name="milestone33">PSP!$C$808</definedName>
    <definedName name="milestone34">PSP!$C$809</definedName>
    <definedName name="milestone35">PSP!$C$810</definedName>
    <definedName name="milestone36">PSP!$C$811</definedName>
    <definedName name="milestone37">PSP!$C$812</definedName>
    <definedName name="milestone38">PSP!$C$813</definedName>
    <definedName name="milestone39">PSP!$C$814</definedName>
    <definedName name="milestone4">PSP!$C$779</definedName>
    <definedName name="milestone40">PSP!$C$815</definedName>
    <definedName name="milestone5">PSP!$C$780</definedName>
    <definedName name="milestone6">PSP!$C$781</definedName>
    <definedName name="milestone7">PSP!$C$782</definedName>
    <definedName name="milestone8">PSP!$C$783</definedName>
    <definedName name="milestone9">PSP!$C$784</definedName>
    <definedName name="months_elapsed_following_contract_conclusion">PSP!$G$771</definedName>
    <definedName name="negative_balance">PSP!$K$237</definedName>
    <definedName name="negative_balance_financial_mechanism_amount">PSP!$K$239</definedName>
    <definedName name="negative_balance_state_budget_amount">PSP!$K$241</definedName>
    <definedName name="net_final_payment_amount">PSP!$L$223</definedName>
    <definedName name="net_final_payment_cash_cofinancing_amount">PSP!$L$229</definedName>
    <definedName name="net_final_payment_financial_mechanism_amount">PSP!$L$225</definedName>
    <definedName name="net_final_payment_state_budget_amount">PSP!$L$227</definedName>
    <definedName name="net_grant_on_payments_settlement_percentage">PSP!$J$184</definedName>
    <definedName name="net_grant_paid_after_approval_applicant">PSP!$H$265</definedName>
    <definedName name="net_grant_paid_after_approval_partner1">PSP!$I$265</definedName>
    <definedName name="net_grant_paid_after_approval_partner2">PSP!$J$265</definedName>
    <definedName name="net_grant_paid_after_approval_partner3">PSP!$K$265</definedName>
    <definedName name="net_grant_paid_after_approval_partner4">PSP!$L$265</definedName>
    <definedName name="net_grant_paid_after_approval_total">PSP!$M$265</definedName>
    <definedName name="net_grant_settled_after_approval_applicant">PSP!$H$268</definedName>
    <definedName name="net_grant_settled_after_approval_partner1">PSP!$I$268</definedName>
    <definedName name="net_grant_settled_after_approval_partner2">PSP!$J$268</definedName>
    <definedName name="net_grant_settled_after_approval_partner3">PSP!$K$268</definedName>
    <definedName name="net_grant_settled_after_approval_partner4">PSP!$L$268</definedName>
    <definedName name="net_grant_settled_after_approval_total">PSP!$M$268</definedName>
    <definedName name="net_in_kind_acummulated_applicant">PSP!$H$274</definedName>
    <definedName name="net_in_kind_acummulated_partner1">PSP!$I$274</definedName>
    <definedName name="net_in_kind_acummulated_partner2">PSP!$J$274</definedName>
    <definedName name="net_in_kind_acummulated_partner3">PSP!$K$274</definedName>
    <definedName name="net_in_kind_acummulated_partner4">PSP!$L$274</definedName>
    <definedName name="net_in_kind_acummulated_total">PSP!$M$274</definedName>
    <definedName name="net_in_kind_share_on_co_financing_applicant">PSP!$H$277</definedName>
    <definedName name="net_in_kind_share_on_co_financing_partner1">PSP!$I$277</definedName>
    <definedName name="net_in_kind_share_on_co_financing_partner2">PSP!$J$277</definedName>
    <definedName name="net_in_kind_share_on_co_financing_partner3">PSP!$K$277</definedName>
    <definedName name="net_in_kind_share_on_co_financing_partner4">PSP!$L$277</definedName>
    <definedName name="net_in_kind_share_on_co_financing_total">PSP!$M$277</definedName>
    <definedName name="net_is_entitled_for_next_payment">PSP!$J$209</definedName>
    <definedName name="net_negative_balance">PSP!$L$237</definedName>
    <definedName name="net_negative_balance_financial_mechanism_amount">PSP!$L$239</definedName>
    <definedName name="net_negative_balance_state_budget_amount">PSP!$L$241</definedName>
    <definedName name="net_next_interim_payment_amount_applicant">PSP!$H$259</definedName>
    <definedName name="net_next_interim_payment_amount_partner1">PSP!$I$259</definedName>
    <definedName name="net_next_interim_payment_amount_partner2">PSP!$J$259</definedName>
    <definedName name="net_next_interim_payment_amount_partner3">PSP!$K$259</definedName>
    <definedName name="net_next_interim_payment_amount_partner4">PSP!$L$259</definedName>
    <definedName name="net_next_interim_payment_amount_rounded">PSP!$L$213</definedName>
    <definedName name="net_next_interim_payment_amount_total">PSP!$M$259</definedName>
    <definedName name="net_next_payment_cash_cofinancing_amount">PSP!$L$219</definedName>
    <definedName name="net_next_payment_financial_mechanism_amount">PSP!$L$215</definedName>
    <definedName name="net_next_payment_in_kind_contribution">PSP!$L$221</definedName>
    <definedName name="net_next_payment_state_budget_amount">PSP!$L$217</definedName>
    <definedName name="net_payments_applicant">PSP!$F$80</definedName>
    <definedName name="net_payments_partner1">PSP!$G$80</definedName>
    <definedName name="net_payments_partner2">PSP!$H$80</definedName>
    <definedName name="net_payments_partner3">PSP!$I$80</definedName>
    <definedName name="net_payments_partner4">PSP!$J$80</definedName>
    <definedName name="net_payments_total">PSP!$K$80</definedName>
    <definedName name="net_percentage_settled_after_approval_applicant">PSP!$H$271</definedName>
    <definedName name="net_percentage_settled_after_approval_partner1">PSP!$I$271</definedName>
    <definedName name="net_percentage_settled_after_approval_partner2">PSP!$J$271</definedName>
    <definedName name="net_percentage_settled_after_approval_partner3">PSP!$K$271</definedName>
    <definedName name="net_percentage_settled_after_approval_partner4">PSP!$L$271</definedName>
    <definedName name="net_percentage_settled_after_approval_total">PSP!$M$271</definedName>
    <definedName name="net_reimbursement_amount">PSP!$L$231</definedName>
    <definedName name="net_reimbursement_financial_mechanism_amount">PSP!$L$233</definedName>
    <definedName name="net_reimbursement_from_payment_applicant">PSP!$H$262</definedName>
    <definedName name="net_reimbursement_from_payment_partner1">PSP!$I$262</definedName>
    <definedName name="net_reimbursement_from_payment_partner2">PSP!$J$262</definedName>
    <definedName name="net_reimbursement_from_payment_partner3">PSP!$K$262</definedName>
    <definedName name="net_reimbursement_from_payment_partner4">PSP!$L$262</definedName>
    <definedName name="net_reimbursement_from_payment_total">PSP!$M$262</definedName>
    <definedName name="net_reimbursement_state_budget_amount">PSP!$L$235</definedName>
    <definedName name="net_settled_and_declared_expenses_on_grant_percentage">PSP!$J$186</definedName>
    <definedName name="net_settled_expenses_applicant">PSP!$F$153</definedName>
    <definedName name="net_settled_expenses_partner1">PSP!$G$153</definedName>
    <definedName name="net_settled_expenses_partner2">PSP!$H$153</definedName>
    <definedName name="net_settled_expenses_partner3">PSP!$I$153</definedName>
    <definedName name="net_settled_expenses_partner4">PSP!$J$153</definedName>
    <definedName name="net_settled_expenses_total">PSP!$K$153</definedName>
    <definedName name="net_total_amount_paid_if_approved">PSP!$J$246</definedName>
    <definedName name="net_total_share_of_payments_if_paid">PSP!$J$248</definedName>
    <definedName name="next_interim_payment_amount">PSP!$I$211</definedName>
    <definedName name="next_interim_payment_amount_applicant">PSP!$H$258</definedName>
    <definedName name="next_interim_payment_amount_partner1">PSP!$I$258</definedName>
    <definedName name="next_interim_payment_amount_partner2">PSP!$J$258</definedName>
    <definedName name="next_interim_payment_amount_partner3">PSP!$K$258</definedName>
    <definedName name="next_interim_payment_amount_partner4">PSP!$L$258</definedName>
    <definedName name="next_interim_payment_amount_rounded">PSP!$K$213</definedName>
    <definedName name="next_payment_amount">PSP!$M$258</definedName>
    <definedName name="next_payment_cash_cofinancing_amount">PSP!$K$219</definedName>
    <definedName name="next_payment_financial_mechanism_amount">PSP!$K$215</definedName>
    <definedName name="next_payment_in_kind_contribution">PSP!$K$221</definedName>
    <definedName name="next_payment_max_amount">PSP!$I$200</definedName>
    <definedName name="next_payment_max_percentage">PSP!$I$198</definedName>
    <definedName name="next_payment_payable_amount">PSP!$I$206</definedName>
    <definedName name="next_payment_retained_amount">PSP!$I$204</definedName>
    <definedName name="next_payment_state_budget_amount">PSP!$K$217</definedName>
    <definedName name="next_payment_title">PSP!$I$193</definedName>
    <definedName name="ninth_reimbursement_date">PSP!$E$78</definedName>
    <definedName name="ninth_reimbursement_partner1">PSP!$G$78</definedName>
    <definedName name="ninth_reimbursement_partner2">PSP!$H$78</definedName>
    <definedName name="ninth_reimbursement_partner3">PSP!$I$78</definedName>
    <definedName name="ninth_reimbursement_partner4">PSP!$J$78</definedName>
    <definedName name="ninth_reimbursement_promoter">PSP!$F$78</definedName>
    <definedName name="ninth_reimbursement_total">PSP!$K$78</definedName>
    <definedName name="_xlnm.Print_Area" localSheetId="1">ZUD!$A:$Q</definedName>
    <definedName name="other_project_funding_source1">PSP!$F$951</definedName>
    <definedName name="other_project_funding_source10">PSP!$F$960</definedName>
    <definedName name="other_project_funding_source2">PSP!$F$952</definedName>
    <definedName name="other_project_funding_source3">PSP!$F$953</definedName>
    <definedName name="other_project_funding_source4">PSP!$F$954</definedName>
    <definedName name="other_project_funding_source5">PSP!$F$955</definedName>
    <definedName name="other_project_funding_source6">PSP!$F$956</definedName>
    <definedName name="other_project_funding_source7">PSP!$F$957</definedName>
    <definedName name="other_project_funding_source8">PSP!$F$958</definedName>
    <definedName name="other_project_funding_source9">PSP!$F$959</definedName>
    <definedName name="other_project_implementation_dates_1">PSP!$H$951</definedName>
    <definedName name="other_project_implementation_dates_10">PSP!$H$960</definedName>
    <definedName name="other_project_implementation_dates_2">PSP!$H$952</definedName>
    <definedName name="other_project_implementation_dates_3">PSP!$H$953</definedName>
    <definedName name="other_project_implementation_dates_4">PSP!$H$954</definedName>
    <definedName name="other_project_implementation_dates_5">PSP!$H$955</definedName>
    <definedName name="other_project_implementation_dates_6">PSP!$H$956</definedName>
    <definedName name="other_project_implementation_dates_7">PSP!$H$957</definedName>
    <definedName name="other_project_implementation_dates_8">PSP!$H$958</definedName>
    <definedName name="other_project_implementation_dates_9">PSP!$H$959</definedName>
    <definedName name="other_project_linked_persons_goods_1">PSP!$J$951</definedName>
    <definedName name="other_project_linked_persons_goods_10">PSP!$J$960</definedName>
    <definedName name="other_project_linked_persons_goods_2">PSP!$J$952</definedName>
    <definedName name="other_project_linked_persons_goods_3">PSP!$J$953</definedName>
    <definedName name="other_project_linked_persons_goods_4">PSP!$J$954</definedName>
    <definedName name="other_project_linked_persons_goods_5">PSP!$J$955</definedName>
    <definedName name="other_project_linked_persons_goods_6">PSP!$J$956</definedName>
    <definedName name="other_project_linked_persons_goods_7">PSP!$J$957</definedName>
    <definedName name="other_project_linked_persons_goods_8">PSP!$J$958</definedName>
    <definedName name="other_project_linked_persons_goods_9">PSP!$J$959</definedName>
    <definedName name="other_project1">PSP!$C$951</definedName>
    <definedName name="other_project10">PSP!$C$960</definedName>
    <definedName name="other_project2">PSP!$C$952</definedName>
    <definedName name="other_project3">PSP!$C$953</definedName>
    <definedName name="other_project4">PSP!$C$954</definedName>
    <definedName name="other_project5">PSP!$C$955</definedName>
    <definedName name="other_project6">PSP!$C$956</definedName>
    <definedName name="other_project7">PSP!$C$957</definedName>
    <definedName name="other_project8">PSP!$C$958</definedName>
    <definedName name="other_project9">PSP!$C$959</definedName>
    <definedName name="partner1_costs_current_activity1">ROZDELENIE!$P$3</definedName>
    <definedName name="partner1_costs_current_activity2">ROZDELENIE!$P$4</definedName>
    <definedName name="partner1_costs_current_activity3">ROZDELENIE!$P$5</definedName>
    <definedName name="partner1_costs_current_activity4">ROZDELENIE!$P$6</definedName>
    <definedName name="partner1_costs_current_activity5">ROZDELENIE!$P$7</definedName>
    <definedName name="partner1_costs_current_activity6">ROZDELENIE!$P$8</definedName>
    <definedName name="partner1_costs_current_activity7">ROZDELENIE!$P$9</definedName>
    <definedName name="partner1_costs_current_activity8">ROZDELENIE!$P$10</definedName>
    <definedName name="partner1_costs_current_management">ROZDELENIE!$P$2</definedName>
    <definedName name="partner1_costs_left_activity1">ROZDELENIE!$V$3</definedName>
    <definedName name="partner1_costs_left_activity2">ROZDELENIE!$V$4</definedName>
    <definedName name="partner1_costs_left_activity3">ROZDELENIE!$V$5</definedName>
    <definedName name="partner1_costs_left_activity4">ROZDELENIE!$V$6</definedName>
    <definedName name="partner1_costs_left_activity5">ROZDELENIE!$V$7</definedName>
    <definedName name="partner1_costs_left_activity6">ROZDELENIE!$V$8</definedName>
    <definedName name="partner1_costs_left_activity7">ROZDELENIE!$V$9</definedName>
    <definedName name="partner1_costs_left_activity8">ROZDELENIE!$V$10</definedName>
    <definedName name="partner1_costs_left_management">ROZDELENIE!$V$2</definedName>
    <definedName name="partner1_costs_planned_activity1">ROZDELENIE!$D$3</definedName>
    <definedName name="partner1_costs_planned_activity2">ROZDELENIE!$D$4</definedName>
    <definedName name="partner1_costs_planned_activity3">ROZDELENIE!$D$5</definedName>
    <definedName name="partner1_costs_planned_activity4">ROZDELENIE!$D$6</definedName>
    <definedName name="partner1_costs_planned_activity5">ROZDELENIE!$D$7</definedName>
    <definedName name="partner1_costs_planned_activity6">ROZDELENIE!$D$8</definedName>
    <definedName name="partner1_costs_planned_activity7">ROZDELENIE!$D$9</definedName>
    <definedName name="partner1_costs_planned_activity8">ROZDELENIE!$D$10</definedName>
    <definedName name="partner1_costs_planned_management">ROZDELENIE!$D$2</definedName>
    <definedName name="partner1_costs_real_activity1">ROZDELENIE!$J$3</definedName>
    <definedName name="partner1_costs_real_activity2">ROZDELENIE!$J$4</definedName>
    <definedName name="partner1_costs_real_activity3">ROZDELENIE!$J$5</definedName>
    <definedName name="partner1_costs_real_activity4">ROZDELENIE!$J$6</definedName>
    <definedName name="partner1_costs_real_activity5">ROZDELENIE!$J$7</definedName>
    <definedName name="partner1_costs_real_activity6">ROZDELENIE!$J$8</definedName>
    <definedName name="partner1_costs_real_activity7">ROZDELENIE!$J$9</definedName>
    <definedName name="partner1_costs_real_activity8">ROZDELENIE!$J$10</definedName>
    <definedName name="partner1_costs_real_management">ROZDELENIE!$J$2</definedName>
    <definedName name="partner1_entitlement">PSP!$G$162</definedName>
    <definedName name="partner2_costs_current_activity1">ROZDELENIE!$Q$3</definedName>
    <definedName name="partner2_costs_current_activity2">ROZDELENIE!$Q$4</definedName>
    <definedName name="partner2_costs_current_activity3">ROZDELENIE!$Q$5</definedName>
    <definedName name="partner2_costs_current_activity4">ROZDELENIE!$Q$6</definedName>
    <definedName name="partner2_costs_current_activity5">ROZDELENIE!$Q$7</definedName>
    <definedName name="partner2_costs_current_activity6">ROZDELENIE!$Q$8</definedName>
    <definedName name="partner2_costs_current_activity7">ROZDELENIE!$Q$9</definedName>
    <definedName name="partner2_costs_current_activity8">ROZDELENIE!$Q$10</definedName>
    <definedName name="partner2_costs_current_management">ROZDELENIE!$Q$2</definedName>
    <definedName name="partner2_costs_left_activity1">ROZDELENIE!$W$3</definedName>
    <definedName name="partner2_costs_left_activity2">ROZDELENIE!$W$4</definedName>
    <definedName name="partner2_costs_left_activity3">ROZDELENIE!$W$5</definedName>
    <definedName name="partner2_costs_left_activity4">ROZDELENIE!$W$6</definedName>
    <definedName name="partner2_costs_left_activity5">ROZDELENIE!$W$7</definedName>
    <definedName name="partner2_costs_left_activity6">ROZDELENIE!$W$8</definedName>
    <definedName name="partner2_costs_left_activity7">ROZDELENIE!$W$9</definedName>
    <definedName name="partner2_costs_left_activity8">ROZDELENIE!$W$10</definedName>
    <definedName name="partner2_costs_left_management">ROZDELENIE!$W$2</definedName>
    <definedName name="partner2_costs_planned_activity1">ROZDELENIE!$E$3</definedName>
    <definedName name="partner2_costs_planned_activity2">ROZDELENIE!$E$4</definedName>
    <definedName name="partner2_costs_planned_activity3">ROZDELENIE!$E$5</definedName>
    <definedName name="partner2_costs_planned_activity4">ROZDELENIE!$E$6</definedName>
    <definedName name="partner2_costs_planned_activity5">ROZDELENIE!$E$7</definedName>
    <definedName name="partner2_costs_planned_activity6">ROZDELENIE!$E$8</definedName>
    <definedName name="partner2_costs_planned_activity7">ROZDELENIE!$E$9</definedName>
    <definedName name="partner2_costs_planned_activity8">ROZDELENIE!$E$10</definedName>
    <definedName name="partner2_costs_planned_management">ROZDELENIE!$E$2</definedName>
    <definedName name="partner2_costs_real_activity1">ROZDELENIE!$K$3</definedName>
    <definedName name="partner2_costs_real_activity2">ROZDELENIE!$K$4</definedName>
    <definedName name="partner2_costs_real_activity3">ROZDELENIE!$K$5</definedName>
    <definedName name="partner2_costs_real_activity4">ROZDELENIE!$K$6</definedName>
    <definedName name="partner2_costs_real_activity5">ROZDELENIE!$K$7</definedName>
    <definedName name="partner2_costs_real_activity6">ROZDELENIE!$K$8</definedName>
    <definedName name="partner2_costs_real_activity7">ROZDELENIE!$K$9</definedName>
    <definedName name="partner2_costs_real_activity8">ROZDELENIE!$K$10</definedName>
    <definedName name="partner2_costs_real_management">ROZDELENIE!$K$2</definedName>
    <definedName name="partner2_entitlement">PSP!$H$162</definedName>
    <definedName name="partner3_costs_current_activity1">ROZDELENIE!$R$3</definedName>
    <definedName name="partner3_costs_current_activity2">ROZDELENIE!$R$4</definedName>
    <definedName name="partner3_costs_current_activity3">ROZDELENIE!$R$5</definedName>
    <definedName name="partner3_costs_current_activity4">ROZDELENIE!$R$6</definedName>
    <definedName name="partner3_costs_current_activity5">ROZDELENIE!$R$7</definedName>
    <definedName name="partner3_costs_current_activity6">ROZDELENIE!$R$8</definedName>
    <definedName name="partner3_costs_current_activity7">ROZDELENIE!$R$9</definedName>
    <definedName name="partner3_costs_current_activity8">ROZDELENIE!$R$10</definedName>
    <definedName name="partner3_costs_current_management">ROZDELENIE!$R$2</definedName>
    <definedName name="partner3_costs_left_activity1">ROZDELENIE!$X$3</definedName>
    <definedName name="partner3_costs_left_activity2">ROZDELENIE!$X$4</definedName>
    <definedName name="partner3_costs_left_activity3">ROZDELENIE!$X$5</definedName>
    <definedName name="partner3_costs_left_activity4">ROZDELENIE!$X$6</definedName>
    <definedName name="partner3_costs_left_activity5">ROZDELENIE!$X$7</definedName>
    <definedName name="partner3_costs_left_activity6">ROZDELENIE!$X$8</definedName>
    <definedName name="partner3_costs_left_activity7">ROZDELENIE!$X$9</definedName>
    <definedName name="partner3_costs_left_activity8">ROZDELENIE!$X$10</definedName>
    <definedName name="partner3_costs_left_management">ROZDELENIE!$X$2</definedName>
    <definedName name="partner3_costs_planned_activity1">ROZDELENIE!$F$3</definedName>
    <definedName name="partner3_costs_planned_activity2">ROZDELENIE!$F$4</definedName>
    <definedName name="partner3_costs_planned_activity3">ROZDELENIE!$F$5</definedName>
    <definedName name="partner3_costs_planned_activity4">ROZDELENIE!$F$6</definedName>
    <definedName name="partner3_costs_planned_activity5">ROZDELENIE!$F$7</definedName>
    <definedName name="partner3_costs_planned_activity6">ROZDELENIE!$F$8</definedName>
    <definedName name="partner3_costs_planned_activity7">ROZDELENIE!$F$9</definedName>
    <definedName name="partner3_costs_planned_activity8">ROZDELENIE!$F$10</definedName>
    <definedName name="partner3_costs_planned_management">ROZDELENIE!$F$2</definedName>
    <definedName name="partner3_costs_real_activity1">ROZDELENIE!$L$3</definedName>
    <definedName name="partner3_costs_real_activity2">ROZDELENIE!$L$4</definedName>
    <definedName name="partner3_costs_real_activity3">ROZDELENIE!$L$5</definedName>
    <definedName name="partner3_costs_real_activity4">ROZDELENIE!$L$6</definedName>
    <definedName name="partner3_costs_real_activity5">ROZDELENIE!$L$7</definedName>
    <definedName name="partner3_costs_real_activity6">ROZDELENIE!$L$8</definedName>
    <definedName name="partner3_costs_real_activity7">ROZDELENIE!$L$9</definedName>
    <definedName name="partner3_costs_real_activity8">ROZDELENIE!$L$10</definedName>
    <definedName name="partner3_costs_real_management">ROZDELENIE!$L$2</definedName>
    <definedName name="partner3_entitlement">PSP!$I$162</definedName>
    <definedName name="partner4_costs_current_activity1">ROZDELENIE!$S$3</definedName>
    <definedName name="partner4_costs_current_activity2">ROZDELENIE!$S$4</definedName>
    <definedName name="partner4_costs_current_activity3">ROZDELENIE!$S$5</definedName>
    <definedName name="partner4_costs_current_activity4">ROZDELENIE!$S$6</definedName>
    <definedName name="partner4_costs_current_activity5">ROZDELENIE!$S$7</definedName>
    <definedName name="partner4_costs_current_activity6">ROZDELENIE!$S$8</definedName>
    <definedName name="partner4_costs_current_activity7">ROZDELENIE!$S$9</definedName>
    <definedName name="partner4_costs_current_activity8">ROZDELENIE!$S$10</definedName>
    <definedName name="partner4_costs_current_management">ROZDELENIE!$S$2</definedName>
    <definedName name="partner4_costs_left_activity1">ROZDELENIE!$Y$3</definedName>
    <definedName name="partner4_costs_left_activity2">ROZDELENIE!$Y$4</definedName>
    <definedName name="partner4_costs_left_activity3">ROZDELENIE!$Y$5</definedName>
    <definedName name="partner4_costs_left_activity4">ROZDELENIE!$Y$6</definedName>
    <definedName name="partner4_costs_left_activity5">ROZDELENIE!$Y$7</definedName>
    <definedName name="partner4_costs_left_activity6">ROZDELENIE!$Y$8</definedName>
    <definedName name="partner4_costs_left_activity7">ROZDELENIE!$Y$9</definedName>
    <definedName name="partner4_costs_left_activity8">ROZDELENIE!$Y$10</definedName>
    <definedName name="partner4_costs_left_management">ROZDELENIE!$Y$2</definedName>
    <definedName name="partner4_costs_planned_activity1">ROZDELENIE!$G$3</definedName>
    <definedName name="partner4_costs_planned_activity2">ROZDELENIE!$G$4</definedName>
    <definedName name="partner4_costs_planned_activity3">ROZDELENIE!$G$5</definedName>
    <definedName name="partner4_costs_planned_activity4">ROZDELENIE!$G$6</definedName>
    <definedName name="partner4_costs_planned_activity5">ROZDELENIE!$G$7</definedName>
    <definedName name="partner4_costs_planned_activity6">ROZDELENIE!$G$8</definedName>
    <definedName name="partner4_costs_planned_activity7">ROZDELENIE!$G$9</definedName>
    <definedName name="partner4_costs_planned_activity8">ROZDELENIE!$G$10</definedName>
    <definedName name="partner4_costs_planned_management">ROZDELENIE!$G$2</definedName>
    <definedName name="partner4_costs_real_activity1">ROZDELENIE!$M$3</definedName>
    <definedName name="partner4_costs_real_activity2">ROZDELENIE!$M$4</definedName>
    <definedName name="partner4_costs_real_activity3">ROZDELENIE!$M$5</definedName>
    <definedName name="partner4_costs_real_activity4">ROZDELENIE!$M$6</definedName>
    <definedName name="partner4_costs_real_activity5">ROZDELENIE!$M$7</definedName>
    <definedName name="partner4_costs_real_activity6">ROZDELENIE!$M$8</definedName>
    <definedName name="partner4_costs_real_activity7">ROZDELENIE!$M$9</definedName>
    <definedName name="partner4_costs_real_activity8">ROZDELENIE!$M$10</definedName>
    <definedName name="partner4_costs_real_management">ROZDELENIE!$M$2</definedName>
    <definedName name="partner4_entitlement">PSP!$J$162</definedName>
    <definedName name="payments_applicant">PSP!$F$56</definedName>
    <definedName name="payments_on_grants_percentage">PSP!$I$190</definedName>
    <definedName name="payments_partner1">PSP!$G$56</definedName>
    <definedName name="payments_partner2">PSP!$H$56</definedName>
    <definedName name="payments_partner3">PSP!$I$56</definedName>
    <definedName name="payments_partner4">PSP!$J$56</definedName>
    <definedName name="payments_percentage_table">PSP!$F$195:$L$196</definedName>
    <definedName name="payments_titles_row">PSP!$F$195:$M$195</definedName>
    <definedName name="payments_total">PSP!$K$56</definedName>
    <definedName name="percentage_settled_after_approval_applicant">PSP!$H$270</definedName>
    <definedName name="percentage_settled_after_approval_partner1">PSP!$I$270</definedName>
    <definedName name="percentage_settled_after_approval_partner2">PSP!$J$270</definedName>
    <definedName name="percentage_settled_after_approval_partner3">PSP!$K$270</definedName>
    <definedName name="percentage_settled_after_approval_partner4">PSP!$L$270</definedName>
    <definedName name="percentage_settled_after_approval_total">PSP!$M$270</definedName>
    <definedName name="programme_abbreviation">PSP!$B$11</definedName>
    <definedName name="programme_outcome">PSP!$F$22</definedName>
    <definedName name="programme_title">PSP!$F$20</definedName>
    <definedName name="project_code">PSP!$F$11</definedName>
    <definedName name="project_decision_issued_on">PSP!$G$767</definedName>
    <definedName name="project_grant_costs_claimed_applicant">PSP!$F$177</definedName>
    <definedName name="project_grant_costs_claimed_eligible_applicant">PSP!$F$178</definedName>
    <definedName name="project_grant_costs_claimed_eligible_partner1">PSP!$G$178</definedName>
    <definedName name="project_grant_costs_claimed_eligible_partner2">PSP!$H$178</definedName>
    <definedName name="project_grant_costs_claimed_eligible_partner3">PSP!$I$178</definedName>
    <definedName name="project_grant_costs_claimed_eligible_partner4">PSP!$J$178</definedName>
    <definedName name="project_grant_costs_claimed_eligible_total">PSP!$K$178</definedName>
    <definedName name="project_grant_costs_claimed_partner1">PSP!$G$177</definedName>
    <definedName name="project_grant_costs_claimed_partner2">PSP!$H$177</definedName>
    <definedName name="project_grant_costs_claimed_partner3">PSP!$I$177</definedName>
    <definedName name="project_grant_costs_claimed_partner4">PSP!$J$177</definedName>
    <definedName name="project_grant_costs_claimed_total">PSP!$K$177</definedName>
    <definedName name="project_grant_rate">PSP!$L$30</definedName>
    <definedName name="project_grant_settled_applicant">PSP!$F$155</definedName>
    <definedName name="project_grant_settled_partner1">PSP!$G$155</definedName>
    <definedName name="project_grant_settled_partner2">PSP!$H$155</definedName>
    <definedName name="project_grant_settled_partner3">PSP!$I$155</definedName>
    <definedName name="project_grant_settled_partner4">PSP!$J$155</definedName>
    <definedName name="project_grant_settled_total">PSP!$K$155</definedName>
    <definedName name="project_implementation_completion_date">PSP!$G$769</definedName>
    <definedName name="project_implementation_start_date">PSP!$L$767</definedName>
    <definedName name="project_specific_indicator_baseline1">PSP!$H$601</definedName>
    <definedName name="project_specific_indicator_baseline2">PSP!$H$614</definedName>
    <definedName name="project_specific_indicator_baseline3">PSP!$H$627</definedName>
    <definedName name="project_specific_indicator_baseline4">PSP!$H$640</definedName>
    <definedName name="project_specific_indicator_baseline5">PSP!$H$653</definedName>
    <definedName name="project_specific_indicator_baseline6">PSP!$H$666</definedName>
    <definedName name="project_specific_indicator_baseline7">PSP!$H$679</definedName>
    <definedName name="project_specific_indicator_code1">PSP!$M$601</definedName>
    <definedName name="project_specific_indicator_code2">PSP!$M$614</definedName>
    <definedName name="project_specific_indicator_code3">PSP!$M$627</definedName>
    <definedName name="project_specific_indicator_code4">PSP!$M$640</definedName>
    <definedName name="project_specific_indicator_code5">PSP!$M$653</definedName>
    <definedName name="project_specific_indicator_code6">PSP!$M$666</definedName>
    <definedName name="project_specific_indicator_code7">PSP!$M$679</definedName>
    <definedName name="project_specific_indicator_current_value1">PSP!$J$601</definedName>
    <definedName name="project_specific_indicator_current_value2">PSP!$J$614</definedName>
    <definedName name="project_specific_indicator_current_value3">PSP!$J$627</definedName>
    <definedName name="project_specific_indicator_current_value4">PSP!$J$640</definedName>
    <definedName name="project_specific_indicator_current_value5">PSP!$J$653</definedName>
    <definedName name="project_specific_indicator_current_value6">PSP!$J$666</definedName>
    <definedName name="project_specific_indicator_current_value7">PSP!$J$679</definedName>
    <definedName name="project_specific_indicator_level1">PSP!$G$601</definedName>
    <definedName name="project_specific_indicator_level2">PSP!$G$614</definedName>
    <definedName name="project_specific_indicator_level3">PSP!$G$627</definedName>
    <definedName name="project_specific_indicator_level4">PSP!$G$640</definedName>
    <definedName name="project_specific_indicator_level5">PSP!$G$653</definedName>
    <definedName name="project_specific_indicator_level6">PSP!$G$666</definedName>
    <definedName name="project_specific_indicator_level7">PSP!$G$679</definedName>
    <definedName name="project_specific_indicator_measurement1">PSP!$K$601</definedName>
    <definedName name="project_specific_indicator_measurement2">PSP!$K$614</definedName>
    <definedName name="project_specific_indicator_measurement3">PSP!$K$627</definedName>
    <definedName name="project_specific_indicator_measurement4">PSP!$K$640</definedName>
    <definedName name="project_specific_indicator_measurement5">PSP!$K$653</definedName>
    <definedName name="project_specific_indicator_measurement6">PSP!$K$666</definedName>
    <definedName name="project_specific_indicator_measurement7">PSP!$K$679</definedName>
    <definedName name="project_specific_indicator_target1">PSP!$I$601</definedName>
    <definedName name="project_specific_indicator_target2">PSP!$I$614</definedName>
    <definedName name="project_specific_indicator_target3">PSP!$I$627</definedName>
    <definedName name="project_specific_indicator_target4">PSP!$I$640</definedName>
    <definedName name="project_specific_indicator_target5">PSP!$I$653</definedName>
    <definedName name="project_specific_indicator_target6">PSP!$I$666</definedName>
    <definedName name="project_specific_indicator_target7">PSP!$I$679</definedName>
    <definedName name="project_specific_indicator_type1">PSP!$F$601</definedName>
    <definedName name="project_specific_indicator_type2">PSP!$F$614</definedName>
    <definedName name="project_specific_indicator_type3">PSP!$F$627</definedName>
    <definedName name="project_specific_indicator_type4">PSP!$F$640</definedName>
    <definedName name="project_specific_indicator_type5">PSP!$F$653</definedName>
    <definedName name="project_specific_indicator_type6">PSP!$F$666</definedName>
    <definedName name="project_specific_indicator_type7">PSP!$F$679</definedName>
    <definedName name="project_specific_indicator1">PSP!$C$601</definedName>
    <definedName name="project_specific_indicator1_disag_type1">PSP!$I$602</definedName>
    <definedName name="project_specific_indicator1_disag_type10">PSP!$I$611</definedName>
    <definedName name="project_specific_indicator1_disag_type11">PSP!$I$612</definedName>
    <definedName name="project_specific_indicator1_disag_type12">PSP!$I$613</definedName>
    <definedName name="project_specific_indicator1_disag_type2">PSP!$I$603</definedName>
    <definedName name="project_specific_indicator1_disag_type3">PSP!$I$604</definedName>
    <definedName name="project_specific_indicator1_disag_type4">PSP!$I$605</definedName>
    <definedName name="project_specific_indicator1_disag_type5">PSP!$I$606</definedName>
    <definedName name="project_specific_indicator1_disag_type6">PSP!$I$607</definedName>
    <definedName name="project_specific_indicator1_disag_type7">PSP!$I$608</definedName>
    <definedName name="project_specific_indicator1_disag_type8">PSP!$I$609</definedName>
    <definedName name="project_specific_indicator1_disag_type9">PSP!$I$610</definedName>
    <definedName name="project_specific_indicator1_disag_value1">PSP!$J$602</definedName>
    <definedName name="project_specific_indicator1_disag_value10">PSP!$J$611</definedName>
    <definedName name="project_specific_indicator1_disag_value11">PSP!$J$612</definedName>
    <definedName name="project_specific_indicator1_disag_value12">PSP!$J$613</definedName>
    <definedName name="project_specific_indicator1_disag_value2">PSP!$J$603</definedName>
    <definedName name="project_specific_indicator1_disag_value3">PSP!$J$604</definedName>
    <definedName name="project_specific_indicator1_disag_value4">PSP!$J$605</definedName>
    <definedName name="project_specific_indicator1_disag_value5">PSP!$J$606</definedName>
    <definedName name="project_specific_indicator1_disag_value6">PSP!$J$607</definedName>
    <definedName name="project_specific_indicator1_disag_value7">PSP!$J$608</definedName>
    <definedName name="project_specific_indicator1_disag_value8">PSP!$J$609</definedName>
    <definedName name="project_specific_indicator1_disag_value9">PSP!$J$610</definedName>
    <definedName name="project_specific_indicator2">PSP!$C$614</definedName>
    <definedName name="project_specific_indicator2_disag_type1">PSP!$I$615</definedName>
    <definedName name="project_specific_indicator2_disag_type10">PSP!$I$624</definedName>
    <definedName name="project_specific_indicator2_disag_type11">PSP!$I$625</definedName>
    <definedName name="project_specific_indicator2_disag_type12">PSP!$I$626</definedName>
    <definedName name="project_specific_indicator2_disag_type2">PSP!$I$616</definedName>
    <definedName name="project_specific_indicator2_disag_type3">PSP!$I$617</definedName>
    <definedName name="project_specific_indicator2_disag_type4">PSP!$I$618</definedName>
    <definedName name="project_specific_indicator2_disag_type5">PSP!$I$619</definedName>
    <definedName name="project_specific_indicator2_disag_type6">PSP!$I$620</definedName>
    <definedName name="project_specific_indicator2_disag_type7">PSP!$I$621</definedName>
    <definedName name="project_specific_indicator2_disag_type8">PSP!$I$622</definedName>
    <definedName name="project_specific_indicator2_disag_type9">PSP!$I$623</definedName>
    <definedName name="project_specific_indicator2_disag_value1">PSP!$J$615</definedName>
    <definedName name="project_specific_indicator2_disag_value10">PSP!$J$624</definedName>
    <definedName name="project_specific_indicator2_disag_value11">PSP!$J$625</definedName>
    <definedName name="project_specific_indicator2_disag_value12">PSP!$J$626</definedName>
    <definedName name="project_specific_indicator2_disag_value2">PSP!$J$616</definedName>
    <definedName name="project_specific_indicator2_disag_value3">PSP!$J$617</definedName>
    <definedName name="project_specific_indicator2_disag_value4">PSP!$J$618</definedName>
    <definedName name="project_specific_indicator2_disag_value5">PSP!$J$619</definedName>
    <definedName name="project_specific_indicator2_disag_value6">PSP!$J$620</definedName>
    <definedName name="project_specific_indicator2_disag_value7">PSP!$J$621</definedName>
    <definedName name="project_specific_indicator2_disag_value8">PSP!$J$622</definedName>
    <definedName name="project_specific_indicator2_disag_value9">PSP!$J$623</definedName>
    <definedName name="project_specific_indicator3">PSP!$C$627</definedName>
    <definedName name="project_specific_indicator3_disag_type1">PSP!$I$628</definedName>
    <definedName name="project_specific_indicator3_disag_type10">PSP!$I$637</definedName>
    <definedName name="project_specific_indicator3_disag_type11">PSP!$I$638</definedName>
    <definedName name="project_specific_indicator3_disag_type12">PSP!$I$639</definedName>
    <definedName name="project_specific_indicator3_disag_type2">PSP!$I$629</definedName>
    <definedName name="project_specific_indicator3_disag_type3">PSP!$I$630</definedName>
    <definedName name="project_specific_indicator3_disag_type4">PSP!$I$631</definedName>
    <definedName name="project_specific_indicator3_disag_type5">PSP!$I$632</definedName>
    <definedName name="project_specific_indicator3_disag_type6">PSP!$I$633</definedName>
    <definedName name="project_specific_indicator3_disag_type7">PSP!$I$634</definedName>
    <definedName name="project_specific_indicator3_disag_type8">PSP!$I$635</definedName>
    <definedName name="project_specific_indicator3_disag_type9">PSP!$I$636</definedName>
    <definedName name="project_specific_indicator3_disag_value1">PSP!$J$628</definedName>
    <definedName name="project_specific_indicator3_disag_value10">PSP!$J$637</definedName>
    <definedName name="project_specific_indicator3_disag_value11">PSP!$J$638</definedName>
    <definedName name="project_specific_indicator3_disag_value12">PSP!$J$639</definedName>
    <definedName name="project_specific_indicator3_disag_value2">PSP!$J$629</definedName>
    <definedName name="project_specific_indicator3_disag_value3">PSP!$J$630</definedName>
    <definedName name="project_specific_indicator3_disag_value4">PSP!$J$631</definedName>
    <definedName name="project_specific_indicator3_disag_value5">PSP!$J$632</definedName>
    <definedName name="project_specific_indicator3_disag_value6">PSP!$J$633</definedName>
    <definedName name="project_specific_indicator3_disag_value7">PSP!$J$634</definedName>
    <definedName name="project_specific_indicator3_disag_value8">PSP!$J$635</definedName>
    <definedName name="project_specific_indicator3_disag_value9">PSP!$J$636</definedName>
    <definedName name="project_specific_indicator4">PSP!$C$640</definedName>
    <definedName name="project_specific_indicator4_disag_type1">PSP!$I$641</definedName>
    <definedName name="project_specific_indicator4_disag_type10">PSP!$I$650</definedName>
    <definedName name="project_specific_indicator4_disag_type11">PSP!$I$651</definedName>
    <definedName name="project_specific_indicator4_disag_type12">PSP!$I$652</definedName>
    <definedName name="project_specific_indicator4_disag_type2">PSP!$I$642</definedName>
    <definedName name="project_specific_indicator4_disag_type3">PSP!$I$643</definedName>
    <definedName name="project_specific_indicator4_disag_type4">PSP!$I$644</definedName>
    <definedName name="project_specific_indicator4_disag_type5">PSP!$I$645</definedName>
    <definedName name="project_specific_indicator4_disag_type6">PSP!$I$646</definedName>
    <definedName name="project_specific_indicator4_disag_type7">PSP!$I$647</definedName>
    <definedName name="project_specific_indicator4_disag_type8">PSP!$I$648</definedName>
    <definedName name="project_specific_indicator4_disag_type9">PSP!$I$649</definedName>
    <definedName name="project_specific_indicator4_disag_value1">PSP!$J$641</definedName>
    <definedName name="project_specific_indicator4_disag_value10">PSP!$J$650</definedName>
    <definedName name="project_specific_indicator4_disag_value11">PSP!$J$651</definedName>
    <definedName name="project_specific_indicator4_disag_value12">PSP!$J$652</definedName>
    <definedName name="project_specific_indicator4_disag_value2">PSP!$J$642</definedName>
    <definedName name="project_specific_indicator4_disag_value3">PSP!$J$643</definedName>
    <definedName name="project_specific_indicator4_disag_value4">PSP!$J$644</definedName>
    <definedName name="project_specific_indicator4_disag_value5">PSP!$J$645</definedName>
    <definedName name="project_specific_indicator4_disag_value6">PSP!$J$646</definedName>
    <definedName name="project_specific_indicator4_disag_value7">PSP!$J$647</definedName>
    <definedName name="project_specific_indicator4_disag_value8">PSP!$J$648</definedName>
    <definedName name="project_specific_indicator4_disag_value9">PSP!$J$649</definedName>
    <definedName name="project_specific_indicator5">PSP!$C$653</definedName>
    <definedName name="project_specific_indicator5_disag_type1">PSP!$I$654</definedName>
    <definedName name="project_specific_indicator5_disag_type10">PSP!$I$663</definedName>
    <definedName name="project_specific_indicator5_disag_type11">PSP!$I$664</definedName>
    <definedName name="project_specific_indicator5_disag_type12">PSP!$I$665</definedName>
    <definedName name="project_specific_indicator5_disag_type2">PSP!$I$655</definedName>
    <definedName name="project_specific_indicator5_disag_type3">PSP!$I$656</definedName>
    <definedName name="project_specific_indicator5_disag_type4">PSP!$I$657</definedName>
    <definedName name="project_specific_indicator5_disag_type5">PSP!$I$658</definedName>
    <definedName name="project_specific_indicator5_disag_type6">PSP!$I$659</definedName>
    <definedName name="project_specific_indicator5_disag_type7">PSP!$I$660</definedName>
    <definedName name="project_specific_indicator5_disag_type8">PSP!$I$661</definedName>
    <definedName name="project_specific_indicator5_disag_type9">PSP!$I$662</definedName>
    <definedName name="project_specific_indicator5_disag_value1">PSP!$J$654</definedName>
    <definedName name="project_specific_indicator5_disag_value10">PSP!$J$663</definedName>
    <definedName name="project_specific_indicator5_disag_value11">PSP!$J$664</definedName>
    <definedName name="project_specific_indicator5_disag_value12">PSP!$J$665</definedName>
    <definedName name="project_specific_indicator5_disag_value2">PSP!$J$655</definedName>
    <definedName name="project_specific_indicator5_disag_value3">PSP!$J$656</definedName>
    <definedName name="project_specific_indicator5_disag_value4">PSP!$J$657</definedName>
    <definedName name="project_specific_indicator5_disag_value5">PSP!$J$658</definedName>
    <definedName name="project_specific_indicator5_disag_value6">PSP!$J$659</definedName>
    <definedName name="project_specific_indicator5_disag_value7">PSP!$J$660</definedName>
    <definedName name="project_specific_indicator5_disag_value8">PSP!$J$661</definedName>
    <definedName name="project_specific_indicator5_disag_value9">PSP!$J$662</definedName>
    <definedName name="project_specific_indicator6">PSP!$C$666</definedName>
    <definedName name="project_specific_indicator6_disag_type1">PSP!$I$667</definedName>
    <definedName name="project_specific_indicator6_disag_type10">PSP!$I$676</definedName>
    <definedName name="project_specific_indicator6_disag_type11">PSP!$I$677</definedName>
    <definedName name="project_specific_indicator6_disag_type12">PSP!$I$678</definedName>
    <definedName name="project_specific_indicator6_disag_type2">PSP!$I$668</definedName>
    <definedName name="project_specific_indicator6_disag_type3">PSP!$I$669</definedName>
    <definedName name="project_specific_indicator6_disag_type4">PSP!$I$670</definedName>
    <definedName name="project_specific_indicator6_disag_type5">PSP!$I$671</definedName>
    <definedName name="project_specific_indicator6_disag_type6">PSP!$I$672</definedName>
    <definedName name="project_specific_indicator6_disag_type7">PSP!$I$673</definedName>
    <definedName name="project_specific_indicator6_disag_type8">PSP!$I$674</definedName>
    <definedName name="project_specific_indicator6_disag_type9">PSP!$I$675</definedName>
    <definedName name="project_specific_indicator6_disag_value1">PSP!$J$667</definedName>
    <definedName name="project_specific_indicator6_disag_value10">PSP!$J$676</definedName>
    <definedName name="project_specific_indicator6_disag_value11">PSP!$J$677</definedName>
    <definedName name="project_specific_indicator6_disag_value12">PSP!$J$678</definedName>
    <definedName name="project_specific_indicator6_disag_value2">PSP!$J$668</definedName>
    <definedName name="project_specific_indicator6_disag_value3">PSP!$J$669</definedName>
    <definedName name="project_specific_indicator6_disag_value4">PSP!$J$670</definedName>
    <definedName name="project_specific_indicator6_disag_value5">PSP!$J$671</definedName>
    <definedName name="project_specific_indicator6_disag_value6">PSP!$J$672</definedName>
    <definedName name="project_specific_indicator6_disag_value7">PSP!$J$673</definedName>
    <definedName name="project_specific_indicator6_disag_value8">PSP!$J$674</definedName>
    <definedName name="project_specific_indicator6_disag_value9">PSP!$J$675</definedName>
    <definedName name="project_specific_indicator7">PSP!$C$679</definedName>
    <definedName name="project_specific_indicator7_disag_type1">PSP!$I$680</definedName>
    <definedName name="project_specific_indicator7_disag_type10">PSP!$I$689</definedName>
    <definedName name="project_specific_indicator7_disag_type11">PSP!$I$690</definedName>
    <definedName name="project_specific_indicator7_disag_type12">PSP!$I$691</definedName>
    <definedName name="project_specific_indicator7_disag_type2">PSP!$I$681</definedName>
    <definedName name="project_specific_indicator7_disag_type3">PSP!$I$682</definedName>
    <definedName name="project_specific_indicator7_disag_type4">PSP!$I$683</definedName>
    <definedName name="project_specific_indicator7_disag_type5">PSP!$I$684</definedName>
    <definedName name="project_specific_indicator7_disag_type6">PSP!$I$685</definedName>
    <definedName name="project_specific_indicator7_disag_type7">PSP!$I$686</definedName>
    <definedName name="project_specific_indicator7_disag_type8">PSP!$I$687</definedName>
    <definedName name="project_specific_indicator7_disag_type9">PSP!$I$688</definedName>
    <definedName name="project_specific_indicator7_disag_value1">PSP!$J$680</definedName>
    <definedName name="project_specific_indicator7_disag_value10">PSP!$J$689</definedName>
    <definedName name="project_specific_indicator7_disag_value11">PSP!$J$690</definedName>
    <definedName name="project_specific_indicator7_disag_value12">PSP!$J$691</definedName>
    <definedName name="project_specific_indicator7_disag_value2">PSP!$J$681</definedName>
    <definedName name="project_specific_indicator7_disag_value3">PSP!$J$682</definedName>
    <definedName name="project_specific_indicator7_disag_value4">PSP!$J$683</definedName>
    <definedName name="project_specific_indicator7_disag_value5">PSP!$J$684</definedName>
    <definedName name="project_specific_indicator7_disag_value6">PSP!$J$685</definedName>
    <definedName name="project_specific_indicator7_disag_value7">PSP!$J$686</definedName>
    <definedName name="project_specific_indicator7_disag_value8">PSP!$J$687</definedName>
    <definedName name="project_specific_indicator7_disag_value9">PSP!$J$688</definedName>
    <definedName name="project_title">PSP!$F$9</definedName>
    <definedName name="promoter_costs_current_activity1">ROZDELENIE!$O$3</definedName>
    <definedName name="promoter_costs_current_activity2">ROZDELENIE!$O$4</definedName>
    <definedName name="promoter_costs_current_activity3">ROZDELENIE!$O$5</definedName>
    <definedName name="promoter_costs_current_activity4">ROZDELENIE!$O$6</definedName>
    <definedName name="promoter_costs_current_activity5">ROZDELENIE!$O$7</definedName>
    <definedName name="promoter_costs_current_activity6">ROZDELENIE!$O$8</definedName>
    <definedName name="promoter_costs_current_activity7">ROZDELENIE!$O$9</definedName>
    <definedName name="promoter_costs_current_activity8">ROZDELENIE!$O$10</definedName>
    <definedName name="promoter_costs_current_management">ROZDELENIE!$O$2</definedName>
    <definedName name="promoter_costs_left_activity1">ROZDELENIE!$U$3</definedName>
    <definedName name="promoter_costs_left_activity2">ROZDELENIE!$U$4</definedName>
    <definedName name="promoter_costs_left_activity3">ROZDELENIE!$U$5</definedName>
    <definedName name="promoter_costs_left_activity4">ROZDELENIE!$U$6</definedName>
    <definedName name="promoter_costs_left_activity5">ROZDELENIE!$U$7</definedName>
    <definedName name="promoter_costs_left_activity6">ROZDELENIE!$U$8</definedName>
    <definedName name="promoter_costs_left_activity7">ROZDELENIE!$U$9</definedName>
    <definedName name="promoter_costs_left_activity8">ROZDELENIE!$U$10</definedName>
    <definedName name="promoter_costs_left_management">ROZDELENIE!$U$2</definedName>
    <definedName name="promoter_costs_planned_activity1">ROZDELENIE!$C$3</definedName>
    <definedName name="promoter_costs_planned_activity2">ROZDELENIE!$C$4</definedName>
    <definedName name="promoter_costs_planned_activity3">ROZDELENIE!$C$5</definedName>
    <definedName name="promoter_costs_planned_activity4">ROZDELENIE!$C$6</definedName>
    <definedName name="promoter_costs_planned_activity5">ROZDELENIE!$C$7</definedName>
    <definedName name="promoter_costs_planned_activity6">ROZDELENIE!$C$8</definedName>
    <definedName name="promoter_costs_planned_activity7">ROZDELENIE!$C$9</definedName>
    <definedName name="promoter_costs_planned_activity8">ROZDELENIE!$C$10</definedName>
    <definedName name="promoter_costs_planned_management">ROZDELENIE!$C$2</definedName>
    <definedName name="promoter_costs_real_activity1">ROZDELENIE!$I$3</definedName>
    <definedName name="promoter_costs_real_activity2">ROZDELENIE!$I$4</definedName>
    <definedName name="promoter_costs_real_activity3">ROZDELENIE!$I$5</definedName>
    <definedName name="promoter_costs_real_activity4">ROZDELENIE!$I$6</definedName>
    <definedName name="promoter_costs_real_activity5">ROZDELENIE!$I$7</definedName>
    <definedName name="promoter_costs_real_activity6">ROZDELENIE!$I$8</definedName>
    <definedName name="promoter_costs_real_activity7">ROZDELENIE!$I$9</definedName>
    <definedName name="promoter_costs_real_activity8">ROZDELENIE!$I$10</definedName>
    <definedName name="promoter_costs_real_management">ROZDELENIE!$I$2</definedName>
    <definedName name="promoter_entitlement">PSP!$F$162</definedName>
    <definedName name="publicity_indicator_baseline1">PSP!$H$587</definedName>
    <definedName name="publicity_indicator_baseline2">PSP!$H$588</definedName>
    <definedName name="publicity_indicator_baseline3">PSP!$H$589</definedName>
    <definedName name="publicity_indicator_baseline4">PSP!$H$590</definedName>
    <definedName name="publicity_indicator_baseline5">PSP!$H$591</definedName>
    <definedName name="publicity_indicator_baseline6">PSP!$H$592</definedName>
    <definedName name="publicity_indicator_baseline7">PSP!$H$593</definedName>
    <definedName name="publicity_indicator_code1">PSP!$M$587</definedName>
    <definedName name="publicity_indicator_code2">PSP!$M$588</definedName>
    <definedName name="publicity_indicator_code3">PSP!$M$589</definedName>
    <definedName name="publicity_indicator_code4">PSP!$M$590</definedName>
    <definedName name="publicity_indicator_code5">PSP!$M$591</definedName>
    <definedName name="publicity_indicator_code6">PSP!$M$592</definedName>
    <definedName name="publicity_indicator_code7">PSP!$M$593</definedName>
    <definedName name="publicity_indicator_code8">PSP!$M$567</definedName>
    <definedName name="publicity_indicator_current_value1">PSP!$J$587</definedName>
    <definedName name="publicity_indicator_current_value2">PSP!$J$588</definedName>
    <definedName name="publicity_indicator_current_value3">PSP!$J$589</definedName>
    <definedName name="publicity_indicator_current_value4">PSP!$J$590</definedName>
    <definedName name="publicity_indicator_current_value5">PSP!$J$591</definedName>
    <definedName name="publicity_indicator_current_value6">PSP!$J$592</definedName>
    <definedName name="publicity_indicator_current_value7">PSP!$J$593</definedName>
    <definedName name="publicity_indicator_measurement1">PSP!$K$587</definedName>
    <definedName name="publicity_indicator_measurement2">PSP!$K$588</definedName>
    <definedName name="publicity_indicator_measurement3">PSP!$K$589</definedName>
    <definedName name="publicity_indicator_measurement4">PSP!$K$590</definedName>
    <definedName name="publicity_indicator_measurement5">PSP!$K$591</definedName>
    <definedName name="publicity_indicator_measurement6">PSP!$K$592</definedName>
    <definedName name="publicity_indicator_measurement7">PSP!$K$593</definedName>
    <definedName name="publicity_indicator_target1">PSP!$I$587</definedName>
    <definedName name="publicity_indicator_target2">PSP!$I$588</definedName>
    <definedName name="publicity_indicator_target3">PSP!$I$589</definedName>
    <definedName name="publicity_indicator_target4">PSP!$I$590</definedName>
    <definedName name="publicity_indicator_target5">PSP!$I$591</definedName>
    <definedName name="publicity_indicator_target6">PSP!$I$592</definedName>
    <definedName name="publicity_indicator_target7">PSP!$I$593</definedName>
    <definedName name="publicity_indicator1">PSP!$C$587</definedName>
    <definedName name="publicity_indicator2">PSP!$C$588</definedName>
    <definedName name="publicity_indicator3">PSP!$C$589</definedName>
    <definedName name="publicity_indicator4">PSP!$C$590</definedName>
    <definedName name="publicity_indicator5">PSP!$C$591</definedName>
    <definedName name="publicity_indicator6">PSP!$C$592</definedName>
    <definedName name="publicity_indicator7">PSP!$C$593</definedName>
    <definedName name="quantities_column">tab_invoices[Náklady na jednotku]</definedName>
    <definedName name="reimbursement_amount">PSP!$K$231</definedName>
    <definedName name="reimbursement_financial_mechanism_amount">PSP!$K$233</definedName>
    <definedName name="reimbursement_from_payment_applicant">PSP!$H$261</definedName>
    <definedName name="reimbursement_from_payment_partner1">PSP!$I$261</definedName>
    <definedName name="reimbursement_from_payment_partner2">PSP!$J$261</definedName>
    <definedName name="reimbursement_from_payment_partner3">PSP!$K$261</definedName>
    <definedName name="reimbursement_from_payment_partner4">PSP!$L$261</definedName>
    <definedName name="reimbursement_from_payment_total">PSP!$M$261</definedName>
    <definedName name="reimbursement_state_budget_amount">PSP!$K$235</definedName>
    <definedName name="reimbursements_partner1">PSP!$G$69</definedName>
    <definedName name="reimbursements_partner2">PSP!$H$69</definedName>
    <definedName name="reimbursements_partner3">PSP!$I$69</definedName>
    <definedName name="reimbursements_partner4">PSP!$J$69</definedName>
    <definedName name="reimbursements_total">PSP!$K$69</definedName>
    <definedName name="report_number">PSP!$F$13</definedName>
    <definedName name="report_version">PSP!$M$3</definedName>
    <definedName name="reporting_period_ends">PSP!$J$18</definedName>
    <definedName name="reporting_period_starts">PSP!$F$18</definedName>
    <definedName name="reserve_applicant">PSP!$F$43</definedName>
    <definedName name="reserve_claimed_applicant">PSP!$F$165</definedName>
    <definedName name="reserve_claimed_partner1">PSP!$G$165</definedName>
    <definedName name="reserve_claimed_partner2">PSP!$H$165</definedName>
    <definedName name="reserve_claimed_partner3">PSP!$I$165</definedName>
    <definedName name="reserve_claimed_partner4">PSP!$J$165</definedName>
    <definedName name="reserve_claimed_total">PSP!$K$165</definedName>
    <definedName name="reserve_partner1">PSP!$G$43</definedName>
    <definedName name="reserve_partner1_PSP1">PSP!$G$115</definedName>
    <definedName name="reserve_partner1_PSP10">PSP!$G$124</definedName>
    <definedName name="reserve_partner1_PSP11">PSP!$G$125</definedName>
    <definedName name="reserve_partner1_PSP12">PSP!$G$126</definedName>
    <definedName name="reserve_partner1_PSP2">PSP!$G$116</definedName>
    <definedName name="reserve_partner1_PSP3">PSP!$G$117</definedName>
    <definedName name="reserve_partner1_PSP4">PSP!$G$118</definedName>
    <definedName name="reserve_partner1_PSP5">PSP!$G$119</definedName>
    <definedName name="reserve_partner1_PSP6">PSP!$G$120</definedName>
    <definedName name="reserve_partner1_PSP7">PSP!$G$121</definedName>
    <definedName name="reserve_partner1_PSP8">PSP!$G$122</definedName>
    <definedName name="reserve_partner1_PSP9">PSP!$G$123</definedName>
    <definedName name="reserve_partner2">PSP!$H$43</definedName>
    <definedName name="reserve_partner2_PSP1">PSP!$H$115</definedName>
    <definedName name="reserve_partner2_PSP10">PSP!$H$124</definedName>
    <definedName name="reserve_partner2_PSP11">PSP!$H$125</definedName>
    <definedName name="reserve_partner2_PSP12">PSP!$H$126</definedName>
    <definedName name="reserve_partner2_PSP2">PSP!$H$116</definedName>
    <definedName name="reserve_partner2_PSP3">PSP!$H$117</definedName>
    <definedName name="reserve_partner2_PSP4">PSP!$H$118</definedName>
    <definedName name="reserve_partner2_PSP5">PSP!$H$119</definedName>
    <definedName name="reserve_partner2_PSP6">PSP!$H$120</definedName>
    <definedName name="reserve_partner2_PSP7">PSP!$H$121</definedName>
    <definedName name="reserve_partner2_PSP8">PSP!$H$122</definedName>
    <definedName name="reserve_partner2_PSP9">PSP!$H$123</definedName>
    <definedName name="reserve_partner3">PSP!$I$43</definedName>
    <definedName name="reserve_partner3_PSP1">PSP!$I$115</definedName>
    <definedName name="reserve_partner3_PSP10">PSP!$I$124</definedName>
    <definedName name="reserve_partner3_PSP11">PSP!$I$125</definedName>
    <definedName name="reserve_partner3_PSP12">PSP!$I$126</definedName>
    <definedName name="reserve_partner3_PSP2">PSP!$I$116</definedName>
    <definedName name="reserve_partner3_PSP3">PSP!$I$117</definedName>
    <definedName name="reserve_partner3_PSP4">PSP!$I$118</definedName>
    <definedName name="reserve_partner3_PSP5">PSP!$I$119</definedName>
    <definedName name="reserve_partner3_PSP6">PSP!$I$120</definedName>
    <definedName name="reserve_partner3_PSP7">PSP!$I$121</definedName>
    <definedName name="reserve_partner3_PSP8">PSP!$I$122</definedName>
    <definedName name="reserve_partner3_PSP9">PSP!$I$123</definedName>
    <definedName name="reserve_partner4">PSP!$J$43</definedName>
    <definedName name="reserve_partner4_PSP1">PSP!$J$115</definedName>
    <definedName name="reserve_partner4_PSP10">PSP!$J$124</definedName>
    <definedName name="reserve_partner4_PSP11">PSP!$J$125</definedName>
    <definedName name="reserve_partner4_PSP12">PSP!$J$126</definedName>
    <definedName name="reserve_partner4_PSP2">PSP!$J$116</definedName>
    <definedName name="reserve_partner4_PSP3">PSP!$J$117</definedName>
    <definedName name="reserve_partner4_PSP4">PSP!$J$118</definedName>
    <definedName name="reserve_partner4_PSP5">PSP!$J$119</definedName>
    <definedName name="reserve_partner4_PSP6">PSP!$J$120</definedName>
    <definedName name="reserve_partner4_PSP7">PSP!$J$121</definedName>
    <definedName name="reserve_partner4_PSP8">PSP!$J$122</definedName>
    <definedName name="reserve_partner4_PSP9">PSP!$J$123</definedName>
    <definedName name="reserve_promoter_PSP1">PSP!$F$115</definedName>
    <definedName name="reserve_promoter_PSP10">PSP!$F$124</definedName>
    <definedName name="reserve_promoter_PSP11">PSP!$F$125</definedName>
    <definedName name="reserve_promoter_PSP12">PSP!$F$126</definedName>
    <definedName name="reserve_promoter_PSP2">PSP!$F$116</definedName>
    <definedName name="reserve_promoter_PSP3">PSP!$F$117</definedName>
    <definedName name="reserve_promoter_PSP4">PSP!$F$118</definedName>
    <definedName name="reserve_promoter_PSP5">PSP!$F$119</definedName>
    <definedName name="reserve_promoter_PSP6">PSP!$F$120</definedName>
    <definedName name="reserve_promoter_PSP7">PSP!$F$121</definedName>
    <definedName name="reserve_promoter_PSP8">PSP!$F$122</definedName>
    <definedName name="reserve_promoter_PSP9">PSP!$F$123</definedName>
    <definedName name="reserve_settled_applicant">PSP!$F$114</definedName>
    <definedName name="reserve_settled_partner1">PSP!$G$114</definedName>
    <definedName name="reserve_settled_partner2">PSP!$H$114</definedName>
    <definedName name="reserve_settled_partner3">PSP!$I$114</definedName>
    <definedName name="reserve_settled_partner4">PSP!$J$114</definedName>
    <definedName name="reserve_settled_total">PSP!$K$114</definedName>
    <definedName name="reserve_total">PSP!$K$43</definedName>
    <definedName name="reserve_total_PSP1">PSP!$K$115</definedName>
    <definedName name="reserve_total_PSP10">PSP!$K$124</definedName>
    <definedName name="reserve_total_PSP11">PSP!$K$125</definedName>
    <definedName name="reserve_total_PSP12">PSP!$K$126</definedName>
    <definedName name="reserve_total_PSP2">PSP!$K$116</definedName>
    <definedName name="reserve_total_PSP3">PSP!$K$117</definedName>
    <definedName name="reserve_total_PSP4">PSP!$K$118</definedName>
    <definedName name="reserve_total_PSP5">PSP!$K$119</definedName>
    <definedName name="reserve_total_PSP6">PSP!$K$120</definedName>
    <definedName name="reserve_total_PSP7">PSP!$K$121</definedName>
    <definedName name="reserve_total_PSP8">PSP!$K$122</definedName>
    <definedName name="reserve_total_PSP9">PSP!$K$123</definedName>
    <definedName name="resimbursements_applicant">PSP!$F$69</definedName>
    <definedName name="response_administrative_burden">PSP!$M$1091</definedName>
    <definedName name="response_communication_satisfaction">PSP!$M$1092</definedName>
    <definedName name="response_financing">PSP!$M$1093</definedName>
    <definedName name="response_overal_satisfaction">PSP!$M$1095</definedName>
    <definedName name="response_partnership">PSP!$M$1094</definedName>
    <definedName name="retention_limit_amount">PSP!$E$248</definedName>
    <definedName name="retention_limit_percentage">PSP!$E$246</definedName>
    <definedName name="retention_system">PSP!$I$202</definedName>
    <definedName name="risk_answer1">PSP!$G$825</definedName>
    <definedName name="risk_answer10">PSP!$G$834</definedName>
    <definedName name="risk_answer11">PSP!$G$835</definedName>
    <definedName name="risk_answer12">PSP!$G$836</definedName>
    <definedName name="risk_answer13">PSP!$G$837</definedName>
    <definedName name="risk_answer14">PSP!$G$838</definedName>
    <definedName name="risk_answer15">PSP!$G$839</definedName>
    <definedName name="risk_answer16">PSP!$G$840</definedName>
    <definedName name="risk_answer17">PSP!$G$841</definedName>
    <definedName name="risk_answer18">PSP!$G$842</definedName>
    <definedName name="risk_answer19">PSP!$G$843</definedName>
    <definedName name="risk_answer2">PSP!$G$826</definedName>
    <definedName name="risk_answer20">PSP!$G$844</definedName>
    <definedName name="risk_answer21">PSP!$G$845</definedName>
    <definedName name="risk_answer22">PSP!$G$846</definedName>
    <definedName name="risk_answer23">PSP!$G$847</definedName>
    <definedName name="risk_answer24">PSP!$G$848</definedName>
    <definedName name="risk_answer3">PSP!$G$827</definedName>
    <definedName name="risk_answer4">PSP!$G$828</definedName>
    <definedName name="risk_answer5">PSP!$G$829</definedName>
    <definedName name="risk_answer6">PSP!$G$830</definedName>
    <definedName name="risk_answer7">PSP!$G$831</definedName>
    <definedName name="risk_answer8">PSP!$G$832</definedName>
    <definedName name="risk_answer9">PSP!$G$833</definedName>
    <definedName name="risk_answers">DATA!$J$2:$M$2</definedName>
    <definedName name="risk_category1">PSP!$F$825</definedName>
    <definedName name="risk_category10">PSP!$F$834</definedName>
    <definedName name="risk_category11">PSP!$F$835</definedName>
    <definedName name="risk_category12">PSP!$F$836</definedName>
    <definedName name="risk_category13">PSP!$F$837</definedName>
    <definedName name="risk_category14">PSP!$F$838</definedName>
    <definedName name="risk_category15">PSP!$F$839</definedName>
    <definedName name="risk_category16">PSP!$F$840</definedName>
    <definedName name="risk_category17">PSP!$F$841</definedName>
    <definedName name="risk_category18">PSP!$F$842</definedName>
    <definedName name="risk_category19">PSP!$F$843</definedName>
    <definedName name="risk_category2">PSP!$F$826</definedName>
    <definedName name="risk_category20">PSP!$F$844</definedName>
    <definedName name="risk_category21">PSP!$F$845</definedName>
    <definedName name="risk_category22">PSP!$F$846</definedName>
    <definedName name="risk_category23">PSP!$F$847</definedName>
    <definedName name="risk_category24">PSP!$F$848</definedName>
    <definedName name="risk_category3">PSP!$F$827</definedName>
    <definedName name="risk_category4">PSP!$F$828</definedName>
    <definedName name="risk_category5">PSP!$F$829</definedName>
    <definedName name="risk_category6">PSP!$F$830</definedName>
    <definedName name="risk_category7">PSP!$F$831</definedName>
    <definedName name="risk_category8">PSP!$F$832</definedName>
    <definedName name="risk_category9">PSP!$F$833</definedName>
    <definedName name="risk_mitigation_plan1">PSP!$I$825</definedName>
    <definedName name="risk_mitigation_plan10">PSP!$I$834</definedName>
    <definedName name="risk_mitigation_plan11">PSP!$I$835</definedName>
    <definedName name="risk_mitigation_plan12">PSP!$I$836</definedName>
    <definedName name="risk_mitigation_plan13">PSP!$I$837</definedName>
    <definedName name="risk_mitigation_plan14">PSP!$I$838</definedName>
    <definedName name="risk_mitigation_plan15">PSP!$I$839</definedName>
    <definedName name="risk_mitigation_plan16">PSP!$I$840</definedName>
    <definedName name="risk_mitigation_plan17">PSP!$I$841</definedName>
    <definedName name="risk_mitigation_plan18">PSP!$I$842</definedName>
    <definedName name="risk_mitigation_plan19">PSP!$I$843</definedName>
    <definedName name="risk_mitigation_plan2">PSP!$I$826</definedName>
    <definedName name="risk_mitigation_plan20">PSP!$I$844</definedName>
    <definedName name="risk_mitigation_plan21">PSP!$I$845</definedName>
    <definedName name="risk_mitigation_plan22">PSP!$I$846</definedName>
    <definedName name="risk_mitigation_plan23">PSP!$I$847</definedName>
    <definedName name="risk_mitigation_plan24">PSP!$I$848</definedName>
    <definedName name="risk_mitigation_plan3">PSP!$I$827</definedName>
    <definedName name="risk_mitigation_plan4">PSP!$I$828</definedName>
    <definedName name="risk_mitigation_plan5">PSP!$I$829</definedName>
    <definedName name="risk_mitigation_plan6">PSP!$I$830</definedName>
    <definedName name="risk_mitigation_plan7">PSP!$I$831</definedName>
    <definedName name="risk_mitigation_plan8">PSP!$I$832</definedName>
    <definedName name="risk_mitigation_plan9">PSP!$I$833</definedName>
    <definedName name="risk_question_numbers">DATA!$G$3:$G$42</definedName>
    <definedName name="risk_question1">PSP!$C$825</definedName>
    <definedName name="risk_question10">PSP!$C$834</definedName>
    <definedName name="risk_question11">PSP!$C$835</definedName>
    <definedName name="risk_question12">PSP!$C$836</definedName>
    <definedName name="risk_question13">PSP!$C$837</definedName>
    <definedName name="risk_question14">PSP!$C$838</definedName>
    <definedName name="risk_question15">PSP!$C$839</definedName>
    <definedName name="risk_question16">PSP!$C$840</definedName>
    <definedName name="risk_question17">PSP!$C$841</definedName>
    <definedName name="risk_question18">PSP!$C$842</definedName>
    <definedName name="risk_question19">PSP!$C$843</definedName>
    <definedName name="risk_question2">PSP!$C$826</definedName>
    <definedName name="risk_question20">PSP!$C$844</definedName>
    <definedName name="risk_question21">PSP!$C$845</definedName>
    <definedName name="risk_question22">PSP!$C$846</definedName>
    <definedName name="risk_question23">PSP!$C$847</definedName>
    <definedName name="risk_question24">PSP!$C$848</definedName>
    <definedName name="risk_question3">PSP!$C$827</definedName>
    <definedName name="risk_question4">PSP!$C$828</definedName>
    <definedName name="risk_question5">PSP!$C$829</definedName>
    <definedName name="risk_question6">PSP!$C$830</definedName>
    <definedName name="risk_question7">PSP!$C$831</definedName>
    <definedName name="risk_question8">PSP!$C$832</definedName>
    <definedName name="risk_question9">PSP!$C$833</definedName>
    <definedName name="roma_inclusion_contribution">PSP!$F$970</definedName>
    <definedName name="roma_inclusion_remarks">PSP!$H$970</definedName>
    <definedName name="second_extraordinary_payment_date">PSP!$E$65</definedName>
    <definedName name="second_extraordinary_payment_partner1">PSP!$G$65</definedName>
    <definedName name="second_extraordinary_payment_partner2">PSP!$H$65</definedName>
    <definedName name="second_extraordinary_payment_partner3">PSP!$I$65</definedName>
    <definedName name="second_extraordinary_payment_partner4">PSP!$J$65</definedName>
    <definedName name="second_extraordinary_payment_promoter">PSP!$F$65</definedName>
    <definedName name="second_extraordinary_payment_total">PSP!$K$65</definedName>
    <definedName name="second_interim_payment_date">PSP!$E$59</definedName>
    <definedName name="second_interim_payment_partner1">PSP!$G$59</definedName>
    <definedName name="second_interim_payment_partner2">PSP!$H$59</definedName>
    <definedName name="second_interim_payment_partner3">PSP!$I$59</definedName>
    <definedName name="second_interim_payment_partner4">PSP!$J$59</definedName>
    <definedName name="second_interim_payment_promoter">PSP!$F$59</definedName>
    <definedName name="second_interim_payment_total">PSP!$K$59</definedName>
    <definedName name="second_reimbursement_date">PSP!$E$71</definedName>
    <definedName name="second_reimbursement_partner1">PSP!$G$71</definedName>
    <definedName name="second_reimbursement_partner2">PSP!$H$71</definedName>
    <definedName name="second_reimbursement_partner3">PSP!$I$71</definedName>
    <definedName name="second_reimbursement_partner4">PSP!$J$71</definedName>
    <definedName name="second_reimbursement_promoter">PSP!$F$71</definedName>
    <definedName name="second_reimbursement_total">PSP!$K$71</definedName>
    <definedName name="settled_and_declared_expenses_on_grant_percentage">PSP!$I$186</definedName>
    <definedName name="seventh_reimbursement_date">PSP!$E$76</definedName>
    <definedName name="seventh_reimbursement_partner1">PSP!$G$76</definedName>
    <definedName name="seventh_reimbursement_partner2">PSP!$H$76</definedName>
    <definedName name="seventh_reimbursement_partner3">PSP!$I$76</definedName>
    <definedName name="seventh_reimbursement_partner4">PSP!$J$76</definedName>
    <definedName name="seventh_reimbursement_promoter">PSP!$F$76</definedName>
    <definedName name="seventh_reimbursement_total">PSP!$K$76</definedName>
    <definedName name="sixth_interim_payment_date">PSP!$E$63</definedName>
    <definedName name="sixth_interim_payment_partner1">PSP!$G$63</definedName>
    <definedName name="sixth_interim_payment_partner2">PSP!$H$63</definedName>
    <definedName name="sixth_interim_payment_partner3">PSP!$I$63</definedName>
    <definedName name="sixth_interim_payment_partner4">PSP!$J$63</definedName>
    <definedName name="sixth_interim_payment_promoter">PSP!$F$63</definedName>
    <definedName name="sixth_interim_payment_total">PSP!$K$63</definedName>
    <definedName name="sixth_reimbursement_date">PSP!$E$75</definedName>
    <definedName name="sixth_reimbursement_partner1">PSP!$G$75</definedName>
    <definedName name="sixth_reimbursement_partner2">PSP!$H$75</definedName>
    <definedName name="sixth_reimbursement_partner3">PSP!$I$75</definedName>
    <definedName name="sixth_reimbursement_partner4">PSP!$J$75</definedName>
    <definedName name="sixth_reimbursement_promoter">PSP!$F$75</definedName>
    <definedName name="sixth_reimbursement_total">PSP!$K$75</definedName>
    <definedName name="social_inclusion_other_groups_contribution">PSP!$F$971</definedName>
    <definedName name="social_inclusion_other_groups_remarks">PSP!$H$971</definedName>
    <definedName name="standard_indicator_baseline1">PSP!$H$287</definedName>
    <definedName name="standard_indicator_baseline10">PSP!$H$404</definedName>
    <definedName name="standard_indicator_baseline11">PSP!$H$417</definedName>
    <definedName name="standard_indicator_baseline12">PSP!$H$430</definedName>
    <definedName name="standard_indicator_baseline13">PSP!$H$443</definedName>
    <definedName name="standard_indicator_baseline14">PSP!$H$456</definedName>
    <definedName name="standard_indicator_baseline2">PSP!$H$300</definedName>
    <definedName name="standard_indicator_baseline3">PSP!$H$313</definedName>
    <definedName name="standard_indicator_baseline4">PSP!$H$326</definedName>
    <definedName name="standard_indicator_baseline5">PSP!$H$339</definedName>
    <definedName name="standard_indicator_baseline6">PSP!$H$352</definedName>
    <definedName name="standard_indicator_baseline7">PSP!$H$365</definedName>
    <definedName name="standard_indicator_baseline8">PSP!$H$378</definedName>
    <definedName name="standard_indicator_baseline9">PSP!$H$391</definedName>
    <definedName name="standard_indicator_code1">PSP!$M$287</definedName>
    <definedName name="standard_indicator_code10">PSP!$M$404</definedName>
    <definedName name="standard_indicator_code11">PSP!$M$417</definedName>
    <definedName name="standard_indicator_code12">PSP!$M$430</definedName>
    <definedName name="standard_indicator_code13">PSP!$M$443</definedName>
    <definedName name="standard_indicator_code14">PSP!$M$456</definedName>
    <definedName name="standard_indicator_code2">PSP!$M$300</definedName>
    <definedName name="standard_indicator_code3">PSP!$M$313</definedName>
    <definedName name="standard_indicator_code4">PSP!$M$326</definedName>
    <definedName name="standard_indicator_code5">PSP!$M$339</definedName>
    <definedName name="standard_indicator_code6">PSP!$M$352</definedName>
    <definedName name="standard_indicator_code7">PSP!$M$365</definedName>
    <definedName name="standard_indicator_code8">PSP!$M$378</definedName>
    <definedName name="standard_indicator_code9">PSP!$M$391</definedName>
    <definedName name="standard_indicator_current_value1">PSP!$J$287</definedName>
    <definedName name="standard_indicator_current_value10">PSP!$J$404</definedName>
    <definedName name="standard_indicator_current_value11">PSP!$J$417</definedName>
    <definedName name="standard_indicator_current_value12">PSP!$J$430</definedName>
    <definedName name="standard_indicator_current_value13">PSP!$J$443</definedName>
    <definedName name="standard_indicator_current_value14">PSP!$J$456</definedName>
    <definedName name="standard_indicator_current_value2">PSP!$J$300</definedName>
    <definedName name="standard_indicator_current_value3">PSP!$J$313</definedName>
    <definedName name="standard_indicator_current_value4">PSP!$J$326</definedName>
    <definedName name="standard_indicator_current_value5">PSP!$J$339</definedName>
    <definedName name="standard_indicator_current_value6">PSP!$J$352</definedName>
    <definedName name="standard_indicator_current_value7">PSP!$J$365</definedName>
    <definedName name="standard_indicator_current_value8">PSP!$J$378</definedName>
    <definedName name="standard_indicator_current_value9">PSP!$J$391</definedName>
    <definedName name="standard_indicator_level1">PSP!$G$287</definedName>
    <definedName name="standard_indicator_level10">PSP!$G$404</definedName>
    <definedName name="standard_indicator_level11">PSP!$G$417</definedName>
    <definedName name="standard_indicator_level12">PSP!$G$430</definedName>
    <definedName name="standard_indicator_level13">PSP!$G$443</definedName>
    <definedName name="standard_indicator_level14">PSP!$G$456</definedName>
    <definedName name="standard_indicator_level2">PSP!$G$300</definedName>
    <definedName name="standard_indicator_level3">PSP!$G$313</definedName>
    <definedName name="standard_indicator_level4">PSP!$G$326</definedName>
    <definedName name="standard_indicator_level5">PSP!$G$339</definedName>
    <definedName name="standard_indicator_level6">PSP!$G$352</definedName>
    <definedName name="standard_indicator_level7">PSP!$G$365</definedName>
    <definedName name="standard_indicator_level8">PSP!$G$378</definedName>
    <definedName name="standard_indicator_level9">PSP!$G$391</definedName>
    <definedName name="standard_indicator_measurement1">PSP!$K$287</definedName>
    <definedName name="standard_indicator_measurement10">PSP!$K$404</definedName>
    <definedName name="standard_indicator_measurement11">PSP!$K$417</definedName>
    <definedName name="standard_indicator_measurement12">PSP!$K$430</definedName>
    <definedName name="standard_indicator_measurement13">PSP!$K$443</definedName>
    <definedName name="standard_indicator_measurement14">PSP!$K$456</definedName>
    <definedName name="standard_indicator_measurement2">PSP!$K$300</definedName>
    <definedName name="standard_indicator_measurement3">PSP!$K$313</definedName>
    <definedName name="standard_indicator_measurement4">PSP!$K$326</definedName>
    <definedName name="standard_indicator_measurement5">PSP!$K$339</definedName>
    <definedName name="standard_indicator_measurement6">PSP!$K$352</definedName>
    <definedName name="standard_indicator_measurement7">PSP!$K$365</definedName>
    <definedName name="standard_indicator_measurement8">PSP!$K$378</definedName>
    <definedName name="standard_indicator_measurement9">PSP!$K$391</definedName>
    <definedName name="standard_indicator_target1">PSP!$I$287</definedName>
    <definedName name="standard_indicator_target10">PSP!$I$404</definedName>
    <definedName name="standard_indicator_target11">PSP!$I$417</definedName>
    <definedName name="standard_indicator_target12">PSP!$I$430</definedName>
    <definedName name="standard_indicator_target13">PSP!$I$443</definedName>
    <definedName name="standard_indicator_target14">PSP!$I$456</definedName>
    <definedName name="standard_indicator_target2">PSP!$I$300</definedName>
    <definedName name="standard_indicator_target3">PSP!$I$313</definedName>
    <definedName name="standard_indicator_target4">PSP!$I$326</definedName>
    <definedName name="standard_indicator_target5">PSP!$I$339</definedName>
    <definedName name="standard_indicator_target6">PSP!$I$352</definedName>
    <definedName name="standard_indicator_target7">PSP!$I$365</definedName>
    <definedName name="standard_indicator_target8">PSP!$I$378</definedName>
    <definedName name="standard_indicator_target9">PSP!$I$391</definedName>
    <definedName name="standard_indicator_type1">PSP!$F$287</definedName>
    <definedName name="standard_indicator_type10">PSP!$F$404</definedName>
    <definedName name="standard_indicator_type11">PSP!$F$417</definedName>
    <definedName name="standard_indicator_type12">PSP!$F$430</definedName>
    <definedName name="standard_indicator_type13">PSP!$F$443</definedName>
    <definedName name="standard_indicator_type14">PSP!$F$456</definedName>
    <definedName name="standard_indicator_type2">PSP!$F$300</definedName>
    <definedName name="standard_indicator_type3">PSP!$F$313</definedName>
    <definedName name="standard_indicator_type4">PSP!$F$326</definedName>
    <definedName name="standard_indicator_type5">PSP!$F$339</definedName>
    <definedName name="standard_indicator_type6">PSP!$F$352</definedName>
    <definedName name="standard_indicator_type7">PSP!$F$365</definedName>
    <definedName name="standard_indicator_type8">PSP!$F$378</definedName>
    <definedName name="standard_indicator_type9">PSP!$F$391</definedName>
    <definedName name="standard_indicator1">PSP!$C$287</definedName>
    <definedName name="standard_indicator1_disag_type1">PSP!$I$288</definedName>
    <definedName name="standard_indicator1_disag_type10">PSP!$I$297</definedName>
    <definedName name="standard_indicator1_disag_type11">PSP!$I$298</definedName>
    <definedName name="standard_indicator1_disag_type12">PSP!$I$299</definedName>
    <definedName name="standard_indicator1_disag_type2">PSP!$I$289</definedName>
    <definedName name="standard_indicator1_disag_type3">PSP!$I$290</definedName>
    <definedName name="standard_indicator1_disag_type4">PSP!$I$291</definedName>
    <definedName name="standard_indicator1_disag_type5">PSP!$I$292</definedName>
    <definedName name="standard_indicator1_disag_type6">PSP!$I$293</definedName>
    <definedName name="standard_indicator1_disag_type7">PSP!$I$294</definedName>
    <definedName name="standard_indicator1_disag_type8">PSP!$I$295</definedName>
    <definedName name="standard_indicator1_disag_type9">PSP!$I$296</definedName>
    <definedName name="standard_indicator1_disag_value1">PSP!$J$288</definedName>
    <definedName name="standard_indicator1_disag_value10">PSP!$J$297</definedName>
    <definedName name="standard_indicator1_disag_value11">PSP!$J$298</definedName>
    <definedName name="standard_indicator1_disag_value12">PSP!$J$299</definedName>
    <definedName name="standard_indicator1_disag_value2">PSP!$J$289</definedName>
    <definedName name="standard_indicator1_disag_value3">PSP!$J$290</definedName>
    <definedName name="standard_indicator1_disag_value4">PSP!$J$291</definedName>
    <definedName name="standard_indicator1_disag_value5">PSP!$J$292</definedName>
    <definedName name="standard_indicator1_disag_value6">PSP!$J$293</definedName>
    <definedName name="standard_indicator1_disag_value7">PSP!$J$294</definedName>
    <definedName name="standard_indicator1_disag_value8">PSP!$J$295</definedName>
    <definedName name="standard_indicator1_disag_value9">PSP!$J$296</definedName>
    <definedName name="standard_indicator10">PSP!$C$404</definedName>
    <definedName name="standard_indicator10_disag_type1">PSP!$I$405</definedName>
    <definedName name="standard_indicator10_disag_type10">PSP!$I$414</definedName>
    <definedName name="standard_indicator10_disag_type11">PSP!$I$415</definedName>
    <definedName name="standard_indicator10_disag_type12">PSP!$I$416</definedName>
    <definedName name="standard_indicator10_disag_type2">PSP!$I$406</definedName>
    <definedName name="standard_indicator10_disag_type3">PSP!$I$407</definedName>
    <definedName name="standard_indicator10_disag_type4">PSP!$I$408</definedName>
    <definedName name="standard_indicator10_disag_type5">PSP!$I$409</definedName>
    <definedName name="standard_indicator10_disag_type6">PSP!$I$410</definedName>
    <definedName name="standard_indicator10_disag_type7">PSP!$I$411</definedName>
    <definedName name="standard_indicator10_disag_type8">PSP!$I$412</definedName>
    <definedName name="standard_indicator10_disag_type9">PSP!$I$413</definedName>
    <definedName name="standard_indicator10_disag_value1">PSP!$J$405</definedName>
    <definedName name="standard_indicator10_disag_value10">PSP!$J$414</definedName>
    <definedName name="standard_indicator10_disag_value11">PSP!$J$415</definedName>
    <definedName name="standard_indicator10_disag_value12">PSP!$J$416</definedName>
    <definedName name="standard_indicator10_disag_value2">PSP!$J$406</definedName>
    <definedName name="standard_indicator10_disag_value3">PSP!$J$407</definedName>
    <definedName name="standard_indicator10_disag_value4">PSP!$J$408</definedName>
    <definedName name="standard_indicator10_disag_value5">PSP!$J$409</definedName>
    <definedName name="standard_indicator10_disag_value6">PSP!$J$410</definedName>
    <definedName name="standard_indicator10_disag_value7">PSP!$J$411</definedName>
    <definedName name="standard_indicator10_disag_value8">PSP!$J$412</definedName>
    <definedName name="standard_indicator10_disag_value9">PSP!$J$413</definedName>
    <definedName name="standard_indicator11">PSP!$C$417</definedName>
    <definedName name="standard_indicator11_disag_type1">PSP!$I$418</definedName>
    <definedName name="standard_indicator11_disag_type10">PSP!$I$427</definedName>
    <definedName name="standard_indicator11_disag_type11">PSP!$I$428</definedName>
    <definedName name="standard_indicator11_disag_type12">PSP!$I$429</definedName>
    <definedName name="standard_indicator11_disag_type2">PSP!$I$419</definedName>
    <definedName name="standard_indicator11_disag_type3">PSP!$I$420</definedName>
    <definedName name="standard_indicator11_disag_type4">PSP!$I$421</definedName>
    <definedName name="standard_indicator11_disag_type5">PSP!$I$422</definedName>
    <definedName name="standard_indicator11_disag_type6">PSP!$I$423</definedName>
    <definedName name="standard_indicator11_disag_type7">PSP!$I$424</definedName>
    <definedName name="standard_indicator11_disag_type8">PSP!$I$425</definedName>
    <definedName name="standard_indicator11_disag_type9">PSP!$I$426</definedName>
    <definedName name="standard_indicator11_disag_value1">PSP!$J$418</definedName>
    <definedName name="standard_indicator11_disag_value10">PSP!$J$427</definedName>
    <definedName name="standard_indicator11_disag_value11">PSP!$J$428</definedName>
    <definedName name="standard_indicator11_disag_value12">PSP!$J$429</definedName>
    <definedName name="standard_indicator11_disag_value2">PSP!$J$419</definedName>
    <definedName name="standard_indicator11_disag_value3">PSP!$J$420</definedName>
    <definedName name="standard_indicator11_disag_value4">PSP!$J$421</definedName>
    <definedName name="standard_indicator11_disag_value5">PSP!$J$422</definedName>
    <definedName name="standard_indicator11_disag_value6">PSP!$J$423</definedName>
    <definedName name="standard_indicator11_disag_value7">PSP!$J$424</definedName>
    <definedName name="standard_indicator11_disag_value8">PSP!$J$425</definedName>
    <definedName name="standard_indicator11_disag_value9">PSP!$J$426</definedName>
    <definedName name="standard_indicator12">PSP!$C$430</definedName>
    <definedName name="standard_indicator12_disag_type1">PSP!$I$431</definedName>
    <definedName name="standard_indicator12_disag_type10">PSP!$I$440</definedName>
    <definedName name="standard_indicator12_disag_type11">PSP!$I$441</definedName>
    <definedName name="standard_indicator12_disag_type12">PSP!$I$442</definedName>
    <definedName name="standard_indicator12_disag_type2">PSP!$I$432</definedName>
    <definedName name="standard_indicator12_disag_type3">PSP!$I$433</definedName>
    <definedName name="standard_indicator12_disag_type4">PSP!$I$434</definedName>
    <definedName name="standard_indicator12_disag_type5">PSP!$I$435</definedName>
    <definedName name="standard_indicator12_disag_type6">PSP!$I$436</definedName>
    <definedName name="standard_indicator12_disag_type7">PSP!$I$437</definedName>
    <definedName name="standard_indicator12_disag_type8">PSP!$I$438</definedName>
    <definedName name="standard_indicator12_disag_type9">PSP!$I$439</definedName>
    <definedName name="standard_indicator12_disag_value1">PSP!$J$431</definedName>
    <definedName name="standard_indicator12_disag_value10">PSP!$J$440</definedName>
    <definedName name="standard_indicator12_disag_value11">PSP!$J$441</definedName>
    <definedName name="standard_indicator12_disag_value12">PSP!$J$442</definedName>
    <definedName name="standard_indicator12_disag_value2">PSP!$J$432</definedName>
    <definedName name="standard_indicator12_disag_value3">PSP!$J$433</definedName>
    <definedName name="standard_indicator12_disag_value4">PSP!$J$434</definedName>
    <definedName name="standard_indicator12_disag_value5">PSP!$J$435</definedName>
    <definedName name="standard_indicator12_disag_value6">PSP!$J$436</definedName>
    <definedName name="standard_indicator12_disag_value7">PSP!$J$437</definedName>
    <definedName name="standard_indicator12_disag_value8">PSP!$J$438</definedName>
    <definedName name="standard_indicator12_disag_value9">PSP!$J$439</definedName>
    <definedName name="standard_indicator13">PSP!$C$443</definedName>
    <definedName name="standard_indicator13_disag_type1">PSP!$I$444</definedName>
    <definedName name="standard_indicator13_disag_type10">PSP!$I$453</definedName>
    <definedName name="standard_indicator13_disag_type11">PSP!$I$454</definedName>
    <definedName name="standard_indicator13_disag_type12">PSP!$I$455</definedName>
    <definedName name="standard_indicator13_disag_type2">PSP!$I$445</definedName>
    <definedName name="standard_indicator13_disag_type3">PSP!$I$446</definedName>
    <definedName name="standard_indicator13_disag_type4">PSP!$I$447</definedName>
    <definedName name="standard_indicator13_disag_type5">PSP!$I$448</definedName>
    <definedName name="standard_indicator13_disag_type6">PSP!$I$449</definedName>
    <definedName name="standard_indicator13_disag_type7">PSP!$I$450</definedName>
    <definedName name="standard_indicator13_disag_type8">PSP!$I$451</definedName>
    <definedName name="standard_indicator13_disag_type9">PSP!$I$452</definedName>
    <definedName name="standard_indicator13_disag_value1">PSP!$J$444</definedName>
    <definedName name="standard_indicator13_disag_value10">PSP!$J$453</definedName>
    <definedName name="standard_indicator13_disag_value11">PSP!$J$454</definedName>
    <definedName name="standard_indicator13_disag_value12">PSP!$J$455</definedName>
    <definedName name="standard_indicator13_disag_value2">PSP!$J$445</definedName>
    <definedName name="standard_indicator13_disag_value3">PSP!$J$446</definedName>
    <definedName name="standard_indicator13_disag_value4">PSP!$J$447</definedName>
    <definedName name="standard_indicator13_disag_value5">PSP!$J$448</definedName>
    <definedName name="standard_indicator13_disag_value6">PSP!$J$449</definedName>
    <definedName name="standard_indicator13_disag_value7">PSP!$J$450</definedName>
    <definedName name="standard_indicator13_disag_value8">PSP!$J$451</definedName>
    <definedName name="standard_indicator13_disag_value9">PSP!$J$452</definedName>
    <definedName name="standard_indicator14">PSP!$C$456</definedName>
    <definedName name="standard_indicator14_disag_type1">PSP!$I$457</definedName>
    <definedName name="standard_indicator14_disag_type10">PSP!$I$466</definedName>
    <definedName name="standard_indicator14_disag_type11">PSP!$I$467</definedName>
    <definedName name="standard_indicator14_disag_type12">PSP!$I$468</definedName>
    <definedName name="standard_indicator14_disag_type2">PSP!$I$458</definedName>
    <definedName name="standard_indicator14_disag_type3">PSP!$I$459</definedName>
    <definedName name="standard_indicator14_disag_type4">PSP!$I$460</definedName>
    <definedName name="standard_indicator14_disag_type5">PSP!$I$461</definedName>
    <definedName name="standard_indicator14_disag_type6">PSP!$I$462</definedName>
    <definedName name="standard_indicator14_disag_type7">PSP!$I$463</definedName>
    <definedName name="standard_indicator14_disag_type8">PSP!$I$464</definedName>
    <definedName name="standard_indicator14_disag_type9">PSP!$I$465</definedName>
    <definedName name="standard_indicator14_disag_value1">PSP!$J$457</definedName>
    <definedName name="standard_indicator14_disag_value10">PSP!$J$466</definedName>
    <definedName name="standard_indicator14_disag_value11">PSP!$J$467</definedName>
    <definedName name="standard_indicator14_disag_value12">PSP!$J$468</definedName>
    <definedName name="standard_indicator14_disag_value2">PSP!$J$458</definedName>
    <definedName name="standard_indicator14_disag_value3">PSP!$J$459</definedName>
    <definedName name="standard_indicator14_disag_value4">PSP!$J$460</definedName>
    <definedName name="standard_indicator14_disag_value5">PSP!$J$461</definedName>
    <definedName name="standard_indicator14_disag_value6">PSP!$J$462</definedName>
    <definedName name="standard_indicator14_disag_value7">PSP!$J$463</definedName>
    <definedName name="standard_indicator14_disag_value8">PSP!$J$464</definedName>
    <definedName name="standard_indicator14_disag_value9">PSP!$J$465</definedName>
    <definedName name="standard_indicator2">PSP!$C$300</definedName>
    <definedName name="standard_indicator2_disag_type1">PSP!$I$301</definedName>
    <definedName name="standard_indicator2_disag_type10">PSP!$I$310</definedName>
    <definedName name="standard_indicator2_disag_type11">PSP!$I$311</definedName>
    <definedName name="standard_indicator2_disag_type12">PSP!$I$312</definedName>
    <definedName name="standard_indicator2_disag_type2">PSP!$I$302</definedName>
    <definedName name="standard_indicator2_disag_type3">PSP!$I$303</definedName>
    <definedName name="standard_indicator2_disag_type4">PSP!$I$304</definedName>
    <definedName name="standard_indicator2_disag_type5">PSP!$I$305</definedName>
    <definedName name="standard_indicator2_disag_type6">PSP!$I$306</definedName>
    <definedName name="standard_indicator2_disag_type7">PSP!$I$307</definedName>
    <definedName name="standard_indicator2_disag_type8">PSP!$I$308</definedName>
    <definedName name="standard_indicator2_disag_type9">PSP!$I$309</definedName>
    <definedName name="standard_indicator2_disag_value1">PSP!$J$301</definedName>
    <definedName name="standard_indicator2_disag_value10">PSP!$J$310</definedName>
    <definedName name="standard_indicator2_disag_value11">PSP!$J$311</definedName>
    <definedName name="standard_indicator2_disag_value12">PSP!$J$312</definedName>
    <definedName name="standard_indicator2_disag_value2">PSP!$J$302</definedName>
    <definedName name="standard_indicator2_disag_value3">PSP!$J$303</definedName>
    <definedName name="standard_indicator2_disag_value4">PSP!$J$304</definedName>
    <definedName name="standard_indicator2_disag_value5">PSP!$J$305</definedName>
    <definedName name="standard_indicator2_disag_value6">PSP!$J$306</definedName>
    <definedName name="standard_indicator2_disag_value7">PSP!$J$307</definedName>
    <definedName name="standard_indicator2_disag_value8">PSP!$J$308</definedName>
    <definedName name="standard_indicator2_disag_value9">PSP!$J$309</definedName>
    <definedName name="standard_indicator3">PSP!$C$313</definedName>
    <definedName name="standard_indicator3_disag_type1">PSP!$I$314</definedName>
    <definedName name="standard_indicator3_disag_type10">PSP!$I$323</definedName>
    <definedName name="standard_indicator3_disag_type11">PSP!$I$324</definedName>
    <definedName name="standard_indicator3_disag_type12">PSP!$I$325</definedName>
    <definedName name="standard_indicator3_disag_type2">PSP!$I$315</definedName>
    <definedName name="standard_indicator3_disag_type3">PSP!$I$316</definedName>
    <definedName name="standard_indicator3_disag_type4">PSP!$I$317</definedName>
    <definedName name="standard_indicator3_disag_type5">PSP!$I$318</definedName>
    <definedName name="standard_indicator3_disag_type6">PSP!$I$319</definedName>
    <definedName name="standard_indicator3_disag_type7">PSP!$I$320</definedName>
    <definedName name="standard_indicator3_disag_type8">PSP!$I$321</definedName>
    <definedName name="standard_indicator3_disag_type9">PSP!$I$322</definedName>
    <definedName name="standard_indicator3_disag_value1">PSP!$J$314</definedName>
    <definedName name="standard_indicator3_disag_value10">PSP!$J$323</definedName>
    <definedName name="standard_indicator3_disag_value11">PSP!$J$324</definedName>
    <definedName name="standard_indicator3_disag_value12">PSP!$J$325</definedName>
    <definedName name="standard_indicator3_disag_value2">PSP!$J$315</definedName>
    <definedName name="standard_indicator3_disag_value3">PSP!$J$316</definedName>
    <definedName name="standard_indicator3_disag_value4">PSP!$J$317</definedName>
    <definedName name="standard_indicator3_disag_value5">PSP!$J$318</definedName>
    <definedName name="standard_indicator3_disag_value6">PSP!$J$319</definedName>
    <definedName name="standard_indicator3_disag_value7">PSP!$J$320</definedName>
    <definedName name="standard_indicator3_disag_value8">PSP!$J$321</definedName>
    <definedName name="standard_indicator3_disag_value9">PSP!$J$322</definedName>
    <definedName name="standard_indicator4">PSP!$C$326</definedName>
    <definedName name="standard_indicator4_disag_type1">PSP!$I$327</definedName>
    <definedName name="standard_indicator4_disag_type10">PSP!$I$336</definedName>
    <definedName name="standard_indicator4_disag_type11">PSP!$I$337</definedName>
    <definedName name="standard_indicator4_disag_type12">PSP!$I$338</definedName>
    <definedName name="standard_indicator4_disag_type2">PSP!$I$328</definedName>
    <definedName name="standard_indicator4_disag_type3">PSP!$I$329</definedName>
    <definedName name="standard_indicator4_disag_type4">PSP!$I$330</definedName>
    <definedName name="standard_indicator4_disag_type5">PSP!$I$331</definedName>
    <definedName name="standard_indicator4_disag_type6">PSP!$I$332</definedName>
    <definedName name="standard_indicator4_disag_type7">PSP!$I$333</definedName>
    <definedName name="standard_indicator4_disag_type8">PSP!$I$334</definedName>
    <definedName name="standard_indicator4_disag_type9">PSP!$I$335</definedName>
    <definedName name="standard_indicator4_disag_value1">PSP!$J$327</definedName>
    <definedName name="standard_indicator4_disag_value10">PSP!$J$336</definedName>
    <definedName name="standard_indicator4_disag_value11">PSP!$J$337</definedName>
    <definedName name="standard_indicator4_disag_value12">PSP!$J$338</definedName>
    <definedName name="standard_indicator4_disag_value2">PSP!$J$328</definedName>
    <definedName name="standard_indicator4_disag_value3">PSP!$J$329</definedName>
    <definedName name="standard_indicator4_disag_value4">PSP!$J$330</definedName>
    <definedName name="standard_indicator4_disag_value5">PSP!$J$331</definedName>
    <definedName name="standard_indicator4_disag_value6">PSP!$J$332</definedName>
    <definedName name="standard_indicator4_disag_value7">PSP!$J$333</definedName>
    <definedName name="standard_indicator4_disag_value8">PSP!$J$334</definedName>
    <definedName name="standard_indicator4_disag_value9">PSP!$J$335</definedName>
    <definedName name="standard_indicator5">PSP!$C$339</definedName>
    <definedName name="standard_indicator5_disag_type1">PSP!$I$340</definedName>
    <definedName name="standard_indicator5_disag_type10">PSP!$I$349</definedName>
    <definedName name="standard_indicator5_disag_type11">PSP!$I$350</definedName>
    <definedName name="standard_indicator5_disag_type12">PSP!$I$351</definedName>
    <definedName name="standard_indicator5_disag_type2">PSP!$I$341</definedName>
    <definedName name="standard_indicator5_disag_type3">PSP!$I$342</definedName>
    <definedName name="standard_indicator5_disag_type4">PSP!$I$343</definedName>
    <definedName name="standard_indicator5_disag_type5">PSP!$I$344</definedName>
    <definedName name="standard_indicator5_disag_type6">PSP!$I$345</definedName>
    <definedName name="standard_indicator5_disag_type7">PSP!$I$346</definedName>
    <definedName name="standard_indicator5_disag_type8">PSP!$I$347</definedName>
    <definedName name="standard_indicator5_disag_type9">PSP!$I$348</definedName>
    <definedName name="standard_indicator5_disag_value1">PSP!$J$340</definedName>
    <definedName name="standard_indicator5_disag_value10">PSP!$J$349</definedName>
    <definedName name="standard_indicator5_disag_value11">PSP!$J$350</definedName>
    <definedName name="standard_indicator5_disag_value12">PSP!$J$351</definedName>
    <definedName name="standard_indicator5_disag_value2">PSP!$J$341</definedName>
    <definedName name="standard_indicator5_disag_value3">PSP!$J$342</definedName>
    <definedName name="standard_indicator5_disag_value4">PSP!$J$343</definedName>
    <definedName name="standard_indicator5_disag_value5">PSP!$J$344</definedName>
    <definedName name="standard_indicator5_disag_value6">PSP!$J$345</definedName>
    <definedName name="standard_indicator5_disag_value7">PSP!$J$346</definedName>
    <definedName name="standard_indicator5_disag_value8">PSP!$J$347</definedName>
    <definedName name="standard_indicator5_disag_value9">PSP!$J$348</definedName>
    <definedName name="standard_indicator6">PSP!$C$352</definedName>
    <definedName name="standard_indicator6_disag_type1">PSP!$I$353</definedName>
    <definedName name="standard_indicator6_disag_type10">PSP!$I$362</definedName>
    <definedName name="standard_indicator6_disag_type11">PSP!$I$363</definedName>
    <definedName name="standard_indicator6_disag_type12">PSP!$I$364</definedName>
    <definedName name="standard_indicator6_disag_type2">PSP!$I$354</definedName>
    <definedName name="standard_indicator6_disag_type3">PSP!$I$355</definedName>
    <definedName name="standard_indicator6_disag_type4">PSP!$I$356</definedName>
    <definedName name="standard_indicator6_disag_type5">PSP!$I$357</definedName>
    <definedName name="standard_indicator6_disag_type6">PSP!$I$358</definedName>
    <definedName name="standard_indicator6_disag_type7">PSP!$I$359</definedName>
    <definedName name="standard_indicator6_disag_type8">PSP!$I$360</definedName>
    <definedName name="standard_indicator6_disag_type9">PSP!$I$361</definedName>
    <definedName name="standard_indicator6_disag_value1">PSP!$J$353</definedName>
    <definedName name="standard_indicator6_disag_value10">PSP!$J$362</definedName>
    <definedName name="standard_indicator6_disag_value11">PSP!$J$363</definedName>
    <definedName name="standard_indicator6_disag_value12">PSP!$J$364</definedName>
    <definedName name="standard_indicator6_disag_value2">PSP!$J$354</definedName>
    <definedName name="standard_indicator6_disag_value3">PSP!$J$355</definedName>
    <definedName name="standard_indicator6_disag_value4">PSP!$J$356</definedName>
    <definedName name="standard_indicator6_disag_value5">PSP!$J$357</definedName>
    <definedName name="standard_indicator6_disag_value6">PSP!$J$358</definedName>
    <definedName name="standard_indicator6_disag_value7">PSP!$J$359</definedName>
    <definedName name="standard_indicator6_disag_value8">PSP!$J$360</definedName>
    <definedName name="standard_indicator6_disag_value9">PSP!$J$361</definedName>
    <definedName name="standard_indicator7">PSP!$C$365</definedName>
    <definedName name="standard_indicator7_disag_type1">PSP!$I$366</definedName>
    <definedName name="standard_indicator7_disag_type10">PSP!$I$375</definedName>
    <definedName name="standard_indicator7_disag_type11">PSP!$I$376</definedName>
    <definedName name="standard_indicator7_disag_type12">PSP!$I$377</definedName>
    <definedName name="standard_indicator7_disag_type2">PSP!$I$367</definedName>
    <definedName name="standard_indicator7_disag_type3">PSP!$I$368</definedName>
    <definedName name="standard_indicator7_disag_type4">PSP!$I$369</definedName>
    <definedName name="standard_indicator7_disag_type5">PSP!$I$370</definedName>
    <definedName name="standard_indicator7_disag_type6">PSP!$I$371</definedName>
    <definedName name="standard_indicator7_disag_type7">PSP!$I$372</definedName>
    <definedName name="standard_indicator7_disag_type8">PSP!$I$373</definedName>
    <definedName name="standard_indicator7_disag_type9">PSP!$I$374</definedName>
    <definedName name="standard_indicator7_disag_value1">PSP!$J$366</definedName>
    <definedName name="standard_indicator7_disag_value10">PSP!$J$375</definedName>
    <definedName name="standard_indicator7_disag_value11">PSP!$J$376</definedName>
    <definedName name="standard_indicator7_disag_value12">PSP!$J$377</definedName>
    <definedName name="standard_indicator7_disag_value2">PSP!$J$367</definedName>
    <definedName name="standard_indicator7_disag_value3">PSP!$J$368</definedName>
    <definedName name="standard_indicator7_disag_value4">PSP!$J$369</definedName>
    <definedName name="standard_indicator7_disag_value5">PSP!$J$370</definedName>
    <definedName name="standard_indicator7_disag_value6">PSP!$J$371</definedName>
    <definedName name="standard_indicator7_disag_value7">PSP!$J$372</definedName>
    <definedName name="standard_indicator7_disag_value8">PSP!$J$373</definedName>
    <definedName name="standard_indicator7_disag_value9">PSP!$J$374</definedName>
    <definedName name="standard_indicator8">PSP!$C$378</definedName>
    <definedName name="standard_indicator8_disag_type1">PSP!$I$379</definedName>
    <definedName name="standard_indicator8_disag_type10">PSP!$I$388</definedName>
    <definedName name="standard_indicator8_disag_type11">PSP!$I$389</definedName>
    <definedName name="standard_indicator8_disag_type12">PSP!$I$390</definedName>
    <definedName name="standard_indicator8_disag_type2">PSP!$I$380</definedName>
    <definedName name="standard_indicator8_disag_type3">PSP!$I$381</definedName>
    <definedName name="standard_indicator8_disag_type4">PSP!$I$382</definedName>
    <definedName name="standard_indicator8_disag_type5">PSP!$I$383</definedName>
    <definedName name="standard_indicator8_disag_type6">PSP!$I$384</definedName>
    <definedName name="standard_indicator8_disag_type7">PSP!$I$385</definedName>
    <definedName name="standard_indicator8_disag_type8">PSP!$I$386</definedName>
    <definedName name="standard_indicator8_disag_type9">PSP!$I$387</definedName>
    <definedName name="standard_indicator8_disag_value1">PSP!$J$379</definedName>
    <definedName name="standard_indicator8_disag_value10">PSP!$J$388</definedName>
    <definedName name="standard_indicator8_disag_value11">PSP!$J$389</definedName>
    <definedName name="standard_indicator8_disag_value12">PSP!$J$390</definedName>
    <definedName name="standard_indicator8_disag_value2">PSP!$J$380</definedName>
    <definedName name="standard_indicator8_disag_value3">PSP!$J$381</definedName>
    <definedName name="standard_indicator8_disag_value4">PSP!$J$382</definedName>
    <definedName name="standard_indicator8_disag_value5">PSP!$J$383</definedName>
    <definedName name="standard_indicator8_disag_value6">PSP!$J$384</definedName>
    <definedName name="standard_indicator8_disag_value7">PSP!$J$385</definedName>
    <definedName name="standard_indicator8_disag_value8">PSP!$J$386</definedName>
    <definedName name="standard_indicator8_disag_value9">PSP!$J$387</definedName>
    <definedName name="standard_indicator9">PSP!$C$391</definedName>
    <definedName name="standard_indicator9_disag_type1">PSP!$I$392</definedName>
    <definedName name="standard_indicator9_disag_type10">PSP!$I$401</definedName>
    <definedName name="standard_indicator9_disag_type11">PSP!$I$402</definedName>
    <definedName name="standard_indicator9_disag_type12">PSP!$I$403</definedName>
    <definedName name="standard_indicator9_disag_type2">PSP!$I$393</definedName>
    <definedName name="standard_indicator9_disag_type3">PSP!$I$394</definedName>
    <definedName name="standard_indicator9_disag_type4">PSP!$I$395</definedName>
    <definedName name="standard_indicator9_disag_type5">PSP!$I$396</definedName>
    <definedName name="standard_indicator9_disag_type6">PSP!$I$397</definedName>
    <definedName name="standard_indicator9_disag_type7">PSP!$I$398</definedName>
    <definedName name="standard_indicator9_disag_type8">PSP!$I$399</definedName>
    <definedName name="standard_indicator9_disag_type9">PSP!$I$400</definedName>
    <definedName name="standard_indicator9_disag_value1">PSP!$J$392</definedName>
    <definedName name="standard_indicator9_disag_value10">PSP!$J$401</definedName>
    <definedName name="standard_indicator9_disag_value11">PSP!$J$402</definedName>
    <definedName name="standard_indicator9_disag_value12">PSP!$J$403</definedName>
    <definedName name="standard_indicator9_disag_value2">PSP!$J$393</definedName>
    <definedName name="standard_indicator9_disag_value3">PSP!$J$394</definedName>
    <definedName name="standard_indicator9_disag_value4">PSP!$J$395</definedName>
    <definedName name="standard_indicator9_disag_value5">PSP!$J$396</definedName>
    <definedName name="standard_indicator9_disag_value6">PSP!$J$397</definedName>
    <definedName name="standard_indicator9_disag_value7">PSP!$J$398</definedName>
    <definedName name="standard_indicator9_disag_value8">PSP!$J$399</definedName>
    <definedName name="standard_indicator9_disag_value9">PSP!$J$400</definedName>
    <definedName name="statutory_name1">PSP!$E$1177</definedName>
    <definedName name="statutory_name2">PSP!$I$1177</definedName>
    <definedName name="statutory_position1">PSP!$E$1181</definedName>
    <definedName name="statutory_position2">PSP!$I$1181</definedName>
    <definedName name="sustainability_indicator_current_value1">PSP!$H$1008</definedName>
    <definedName name="sustainability_indicator_current_value10">PSP!$H$1017</definedName>
    <definedName name="sustainability_indicator_current_value2">PSP!$H$1009</definedName>
    <definedName name="sustainability_indicator_current_value3">PSP!$H$1010</definedName>
    <definedName name="sustainability_indicator_current_value4">PSP!$H$1011</definedName>
    <definedName name="sustainability_indicator_current_value5">PSP!$H$1012</definedName>
    <definedName name="sustainability_indicator_current_value6">PSP!$H$1013</definedName>
    <definedName name="sustainability_indicator_current_value7">PSP!$H$1014</definedName>
    <definedName name="sustainability_indicator_current_value8">PSP!$H$1015</definedName>
    <definedName name="sustainability_indicator_current_value9">PSP!$H$1016</definedName>
    <definedName name="sustainability_indicator_remarks1">PSP!$J$1008</definedName>
    <definedName name="sustainability_indicator_remarks10">PSP!$J$1017</definedName>
    <definedName name="sustainability_indicator_remarks2">PSP!$J$1009</definedName>
    <definedName name="sustainability_indicator_remarks3">PSP!$J$1010</definedName>
    <definedName name="sustainability_indicator_remarks4">PSP!$J$1011</definedName>
    <definedName name="sustainability_indicator_remarks5">PSP!$J$1012</definedName>
    <definedName name="sustainability_indicator_remarks6">PSP!$J$1013</definedName>
    <definedName name="sustainability_indicator_remarks7">PSP!$J$1014</definedName>
    <definedName name="sustainability_indicator_remarks8">PSP!$J$1015</definedName>
    <definedName name="sustainability_indicator_remarks9">PSP!$J$1016</definedName>
    <definedName name="sustainability_indicator_target_value1">PSP!$I$1008</definedName>
    <definedName name="sustainability_indicator_target_value10">PSP!$I$1017</definedName>
    <definedName name="sustainability_indicator_target_value2">PSP!$I$1009</definedName>
    <definedName name="sustainability_indicator_target_value3">PSP!$I$1010</definedName>
    <definedName name="sustainability_indicator_target_value4">PSP!$I$1011</definedName>
    <definedName name="sustainability_indicator_target_value5">PSP!$I$1012</definedName>
    <definedName name="sustainability_indicator_target_value6">PSP!$I$1013</definedName>
    <definedName name="sustainability_indicator_target_value7">PSP!$I$1014</definedName>
    <definedName name="sustainability_indicator_target_value8">PSP!$I$1015</definedName>
    <definedName name="sustainability_indicator_target_value9">PSP!$I$1016</definedName>
    <definedName name="sustainability_indicator1">PSP!$C$1008</definedName>
    <definedName name="sustainability_indicator10">PSP!$C$1017</definedName>
    <definedName name="sustainability_indicator2">PSP!$C$1009</definedName>
    <definedName name="sustainability_indicator3">PSP!$C$1010</definedName>
    <definedName name="sustainability_indicator4">PSP!$C$1011</definedName>
    <definedName name="sustainability_indicator5">PSP!$C$1012</definedName>
    <definedName name="sustainability_indicator6">PSP!$C$1013</definedName>
    <definedName name="sustainability_indicator7">PSP!$C$1014</definedName>
    <definedName name="sustainability_indicator8">PSP!$C$1015</definedName>
    <definedName name="sustainability_indicator9">PSP!$C$1016</definedName>
    <definedName name="tenth_reimbursement_date">PSP!$E$79</definedName>
    <definedName name="tenth_reimbursement_partner1">PSP!$G$79</definedName>
    <definedName name="tenth_reimbursement_partner2">PSP!$H$79</definedName>
    <definedName name="tenth_reimbursement_partner3">PSP!$I$79</definedName>
    <definedName name="tenth_reimbursement_partner4">PSP!$J$79</definedName>
    <definedName name="tenth_reimbursement_promoter">PSP!$F$79</definedName>
    <definedName name="tenth_reimbursement_total">PSP!$K$79</definedName>
    <definedName name="third_extraordinary_payment_date">PSP!$E$66</definedName>
    <definedName name="third_extraordinary_payment_partner1">PSP!$G$66</definedName>
    <definedName name="third_extraordinary_payment_partner2">PSP!$H$66</definedName>
    <definedName name="third_extraordinary_payment_partner3">PSP!$I$66</definedName>
    <definedName name="third_extraordinary_payment_partner4">PSP!$J$66</definedName>
    <definedName name="third_extraordinary_payment_promoter">PSP!$F$66</definedName>
    <definedName name="third_extraordinary_payment_total">PSP!$K$66</definedName>
    <definedName name="third_interim_payment_date">PSP!$E$60</definedName>
    <definedName name="third_interim_payment_partner1">PSP!$G$60</definedName>
    <definedName name="third_interim_payment_partner2">PSP!$H$60</definedName>
    <definedName name="third_interim_payment_partner3">PSP!$I$60</definedName>
    <definedName name="third_interim_payment_partner4">PSP!$J$60</definedName>
    <definedName name="third_interim_payment_promoter">PSP!$F$60</definedName>
    <definedName name="third_interim_payment_total">PSP!$K$60</definedName>
    <definedName name="third_reimbursement_date">PSP!$E$72</definedName>
    <definedName name="third_reimbursement_partner1">PSP!$G$72</definedName>
    <definedName name="third_reimbursement_partner2">PSP!$H$72</definedName>
    <definedName name="third_reimbursement_partner3">PSP!$I$72</definedName>
    <definedName name="third_reimbursement_partner4">PSP!$J$72</definedName>
    <definedName name="third_reimbursement_promoter">PSP!$F$72</definedName>
    <definedName name="third_reimbursement_total">PSP!$K$72</definedName>
    <definedName name="total_amount_paid_if_approved">PSP!$I$246</definedName>
    <definedName name="total_costs_claimed_applicant">PSP!$F$180</definedName>
    <definedName name="total_costs_claimed_eligible_applicant">PSP!$F$181</definedName>
    <definedName name="total_costs_claimed_eligible_partner1">PSP!$G$181</definedName>
    <definedName name="total_costs_claimed_eligible_partner2">PSP!$H$181</definedName>
    <definedName name="total_costs_claimed_eligible_partner3">PSP!$I$181</definedName>
    <definedName name="total_costs_claimed_eligible_partner4">PSP!$J$181</definedName>
    <definedName name="total_costs_claimed_eligible_total">PSP!$K$181</definedName>
    <definedName name="total_costs_claimed_partner1">PSP!$G$180</definedName>
    <definedName name="total_costs_claimed_partner2">PSP!$H$180</definedName>
    <definedName name="total_costs_claimed_partner3">PSP!$I$180</definedName>
    <definedName name="total_costs_claimed_partner4">PSP!$J$180</definedName>
    <definedName name="total_costs_claimed_total">PSP!$K$180</definedName>
    <definedName name="total_eligible_cash_expenditure_applicant">PSP!$F$47</definedName>
    <definedName name="total_eligible_cash_expenditure_partner1">PSP!$G$47</definedName>
    <definedName name="total_eligible_cash_expenditure_partner2">PSP!$H$47</definedName>
    <definedName name="total_eligible_cash_expenditure_partner3">PSP!$I$47</definedName>
    <definedName name="total_eligible_cash_expenditure_partner4">PSP!$J$47</definedName>
    <definedName name="total_eligible_cash_expenditure_total">PSP!$K$47</definedName>
    <definedName name="total_eligible_expenditure_applicant">PSP!$F$48</definedName>
    <definedName name="total_eligible_expenditure_partner1">PSP!$G$48</definedName>
    <definedName name="total_eligible_expenditure_partner2">PSP!$H$48</definedName>
    <definedName name="total_eligible_expenditure_partner3">PSP!$I$48</definedName>
    <definedName name="total_eligible_expenditure_partner4">PSP!$J$48</definedName>
    <definedName name="total_eligible_expenditure_total">PSP!$K$48</definedName>
    <definedName name="total_share_of_payments_if_paid">PSP!$I$248</definedName>
    <definedName name="transparency_anticorruption_contribution">PSP!$F$973</definedName>
    <definedName name="transparency_anticorruption_remarks">PSP!$H$973</definedName>
    <definedName name="types_of_expenditure">DATA!$B$3:$B$9</definedName>
    <definedName name="unit_costs_column">tab_invoices[Množstvo]</definedName>
    <definedName name="VSP_End">PSP!$B$1113</definedName>
    <definedName name="VSP_Start">PSP!$B$977</definedName>
    <definedName name="ZSP_end">PSP!$B$1113</definedName>
  </definedNames>
  <calcPr calcId="162913"/>
</workbook>
</file>

<file path=xl/calcChain.xml><?xml version="1.0" encoding="utf-8"?>
<calcChain xmlns="http://schemas.openxmlformats.org/spreadsheetml/2006/main">
  <c r="K11" i="1" l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A309" i="1"/>
  <c r="M309" i="1"/>
  <c r="N309" i="1"/>
  <c r="O309" i="1"/>
  <c r="P309" i="1"/>
  <c r="Q309" i="1"/>
  <c r="A310" i="1"/>
  <c r="M310" i="1"/>
  <c r="N310" i="1"/>
  <c r="O310" i="1"/>
  <c r="P310" i="1"/>
  <c r="Q310" i="1"/>
  <c r="M311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A11" i="1" l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A306" i="1"/>
  <c r="N306" i="1"/>
  <c r="O306" i="1"/>
  <c r="P306" i="1"/>
  <c r="Q306" i="1"/>
  <c r="A307" i="1"/>
  <c r="N307" i="1"/>
  <c r="O307" i="1"/>
  <c r="P307" i="1"/>
  <c r="Q307" i="1"/>
  <c r="A264" i="1" l="1"/>
  <c r="N264" i="1"/>
  <c r="O264" i="1"/>
  <c r="P264" i="1"/>
  <c r="Q264" i="1"/>
  <c r="A265" i="1"/>
  <c r="N265" i="1"/>
  <c r="O265" i="1"/>
  <c r="P265" i="1"/>
  <c r="Q265" i="1"/>
  <c r="H826" i="9"/>
  <c r="H827" i="9"/>
  <c r="H828" i="9"/>
  <c r="H829" i="9"/>
  <c r="H830" i="9"/>
  <c r="H831" i="9"/>
  <c r="H832" i="9"/>
  <c r="H833" i="9"/>
  <c r="H834" i="9"/>
  <c r="H835" i="9"/>
  <c r="H836" i="9"/>
  <c r="H837" i="9"/>
  <c r="H838" i="9"/>
  <c r="H839" i="9"/>
  <c r="H840" i="9"/>
  <c r="H841" i="9"/>
  <c r="H842" i="9"/>
  <c r="H843" i="9"/>
  <c r="H844" i="9"/>
  <c r="H845" i="9"/>
  <c r="H846" i="9"/>
  <c r="H847" i="9"/>
  <c r="H848" i="9"/>
  <c r="K113" i="9" l="1"/>
  <c r="K112" i="9"/>
  <c r="K111" i="9"/>
  <c r="K110" i="9"/>
  <c r="K109" i="9"/>
  <c r="K108" i="9"/>
  <c r="K107" i="9"/>
  <c r="K106" i="9"/>
  <c r="K105" i="9"/>
  <c r="K104" i="9"/>
  <c r="K103" i="9"/>
  <c r="K102" i="9"/>
  <c r="K152" i="9"/>
  <c r="K151" i="9"/>
  <c r="K150" i="9"/>
  <c r="K149" i="9"/>
  <c r="K148" i="9"/>
  <c r="K147" i="9"/>
  <c r="K146" i="9"/>
  <c r="K145" i="9"/>
  <c r="K144" i="9"/>
  <c r="K143" i="9"/>
  <c r="K142" i="9"/>
  <c r="K141" i="9"/>
  <c r="K126" i="9"/>
  <c r="K125" i="9"/>
  <c r="K124" i="9"/>
  <c r="K123" i="9"/>
  <c r="K122" i="9"/>
  <c r="K121" i="9"/>
  <c r="K120" i="9"/>
  <c r="K119" i="9"/>
  <c r="K118" i="9"/>
  <c r="K117" i="9"/>
  <c r="K116" i="9"/>
  <c r="K115" i="9"/>
  <c r="K129" i="9"/>
  <c r="K130" i="9"/>
  <c r="K131" i="9"/>
  <c r="K132" i="9"/>
  <c r="K133" i="9"/>
  <c r="K134" i="9"/>
  <c r="K135" i="9"/>
  <c r="K136" i="9"/>
  <c r="K137" i="9"/>
  <c r="K138" i="9"/>
  <c r="K139" i="9"/>
  <c r="K128" i="9"/>
  <c r="J100" i="9"/>
  <c r="I100" i="9"/>
  <c r="H100" i="9"/>
  <c r="G100" i="9"/>
  <c r="F100" i="9"/>
  <c r="J99" i="9"/>
  <c r="I99" i="9"/>
  <c r="H99" i="9"/>
  <c r="G99" i="9"/>
  <c r="F99" i="9"/>
  <c r="J98" i="9"/>
  <c r="I98" i="9"/>
  <c r="H98" i="9"/>
  <c r="G98" i="9"/>
  <c r="F98" i="9"/>
  <c r="J97" i="9"/>
  <c r="I97" i="9"/>
  <c r="H97" i="9"/>
  <c r="G97" i="9"/>
  <c r="F97" i="9"/>
  <c r="J96" i="9"/>
  <c r="I96" i="9"/>
  <c r="H96" i="9"/>
  <c r="G96" i="9"/>
  <c r="F96" i="9"/>
  <c r="J95" i="9"/>
  <c r="I95" i="9"/>
  <c r="H95" i="9"/>
  <c r="G95" i="9"/>
  <c r="F95" i="9"/>
  <c r="J94" i="9"/>
  <c r="I94" i="9"/>
  <c r="H94" i="9"/>
  <c r="G94" i="9"/>
  <c r="F94" i="9"/>
  <c r="J93" i="9"/>
  <c r="I93" i="9"/>
  <c r="H93" i="9"/>
  <c r="G93" i="9"/>
  <c r="F93" i="9"/>
  <c r="J92" i="9"/>
  <c r="I92" i="9"/>
  <c r="H92" i="9"/>
  <c r="G92" i="9"/>
  <c r="F92" i="9"/>
  <c r="J91" i="9"/>
  <c r="I91" i="9"/>
  <c r="H91" i="9"/>
  <c r="G91" i="9"/>
  <c r="F91" i="9"/>
  <c r="J90" i="9"/>
  <c r="I90" i="9"/>
  <c r="H90" i="9"/>
  <c r="G90" i="9"/>
  <c r="F90" i="9"/>
  <c r="J89" i="9"/>
  <c r="I89" i="9"/>
  <c r="H89" i="9"/>
  <c r="H88" i="9" s="1"/>
  <c r="G89" i="9"/>
  <c r="F89" i="9"/>
  <c r="X3" i="8"/>
  <c r="X4" i="8"/>
  <c r="X5" i="8"/>
  <c r="X6" i="8"/>
  <c r="X7" i="8"/>
  <c r="X8" i="8"/>
  <c r="X9" i="8"/>
  <c r="X10" i="8"/>
  <c r="X11" i="8"/>
  <c r="X12" i="8"/>
  <c r="X13" i="8"/>
  <c r="X14" i="8"/>
  <c r="X15" i="8"/>
  <c r="X16" i="8"/>
  <c r="X17" i="8"/>
  <c r="X18" i="8"/>
  <c r="X19" i="8"/>
  <c r="X20" i="8"/>
  <c r="X21" i="8"/>
  <c r="X22" i="8"/>
  <c r="X23" i="8"/>
  <c r="X24" i="8"/>
  <c r="X25" i="8"/>
  <c r="X26" i="8"/>
  <c r="X27" i="8"/>
  <c r="X28" i="8"/>
  <c r="X29" i="8"/>
  <c r="X30" i="8"/>
  <c r="X31" i="8"/>
  <c r="X32" i="8"/>
  <c r="X33" i="8"/>
  <c r="X34" i="8"/>
  <c r="X35" i="8"/>
  <c r="X36" i="8"/>
  <c r="X37" i="8"/>
  <c r="X38" i="8"/>
  <c r="X39" i="8"/>
  <c r="X40" i="8"/>
  <c r="X41" i="8"/>
  <c r="X42" i="8"/>
  <c r="X43" i="8"/>
  <c r="X44" i="8"/>
  <c r="X45" i="8"/>
  <c r="X46" i="8"/>
  <c r="X47" i="8"/>
  <c r="X48" i="8"/>
  <c r="X49" i="8"/>
  <c r="X50" i="8"/>
  <c r="X51" i="8"/>
  <c r="X52" i="8"/>
  <c r="X53" i="8"/>
  <c r="X54" i="8"/>
  <c r="X55" i="8"/>
  <c r="X56" i="8"/>
  <c r="X57" i="8"/>
  <c r="X58" i="8"/>
  <c r="X59" i="8"/>
  <c r="X60" i="8"/>
  <c r="X61" i="8"/>
  <c r="X62" i="8"/>
  <c r="X63" i="8"/>
  <c r="X64" i="8"/>
  <c r="X65" i="8"/>
  <c r="X66" i="8"/>
  <c r="X67" i="8"/>
  <c r="X68" i="8"/>
  <c r="X69" i="8"/>
  <c r="X70" i="8"/>
  <c r="X71" i="8"/>
  <c r="X72" i="8"/>
  <c r="X73" i="8"/>
  <c r="X74" i="8"/>
  <c r="X75" i="8"/>
  <c r="X76" i="8"/>
  <c r="X77" i="8"/>
  <c r="X78" i="8"/>
  <c r="X79" i="8"/>
  <c r="X80" i="8"/>
  <c r="X81" i="8"/>
  <c r="X82" i="8"/>
  <c r="X83" i="8"/>
  <c r="X84" i="8"/>
  <c r="X85" i="8"/>
  <c r="X86" i="8"/>
  <c r="X87" i="8"/>
  <c r="X88" i="8"/>
  <c r="X89" i="8"/>
  <c r="X90" i="8"/>
  <c r="X91" i="8"/>
  <c r="X92" i="8"/>
  <c r="X93" i="8"/>
  <c r="X94" i="8"/>
  <c r="X95" i="8"/>
  <c r="X96" i="8"/>
  <c r="X97" i="8"/>
  <c r="X98" i="8"/>
  <c r="X99" i="8"/>
  <c r="X100" i="8"/>
  <c r="X2" i="8"/>
  <c r="F88" i="9" l="1"/>
  <c r="J88" i="9"/>
  <c r="I88" i="9"/>
  <c r="G88" i="9"/>
  <c r="K97" i="9"/>
  <c r="K92" i="9"/>
  <c r="K98" i="9"/>
  <c r="K90" i="9"/>
  <c r="K93" i="9"/>
  <c r="K96" i="9"/>
  <c r="K99" i="9"/>
  <c r="K91" i="9"/>
  <c r="K95" i="9"/>
  <c r="K89" i="9"/>
  <c r="K94" i="9"/>
  <c r="K100" i="9"/>
  <c r="K63" i="9"/>
  <c r="B10" i="13"/>
  <c r="B9" i="13"/>
  <c r="B8" i="13"/>
  <c r="B7" i="13"/>
  <c r="B6" i="13"/>
  <c r="B5" i="13"/>
  <c r="B4" i="13"/>
  <c r="B3" i="13"/>
  <c r="K88" i="9" l="1"/>
  <c r="G10" i="13" a="1"/>
  <c r="G10" i="13" s="1"/>
  <c r="G9" i="13" a="1"/>
  <c r="G9" i="13" s="1"/>
  <c r="G8" i="13" a="1"/>
  <c r="G8" i="13" s="1"/>
  <c r="G7" i="13" a="1"/>
  <c r="G7" i="13" s="1"/>
  <c r="G6" i="13" a="1"/>
  <c r="G6" i="13" s="1"/>
  <c r="G5" i="13" a="1"/>
  <c r="G5" i="13" s="1"/>
  <c r="G4" i="13" a="1"/>
  <c r="G4" i="13" s="1"/>
  <c r="G3" i="13" a="1"/>
  <c r="G3" i="13" s="1"/>
  <c r="G2" i="13" a="1"/>
  <c r="G2" i="13" s="1"/>
  <c r="F10" i="13" a="1"/>
  <c r="F10" i="13" s="1"/>
  <c r="F9" i="13" a="1"/>
  <c r="F9" i="13" s="1"/>
  <c r="F8" i="13" a="1"/>
  <c r="F8" i="13" s="1"/>
  <c r="F7" i="13" a="1"/>
  <c r="F7" i="13" s="1"/>
  <c r="F6" i="13" a="1"/>
  <c r="F6" i="13" s="1"/>
  <c r="F5" i="13" a="1"/>
  <c r="F5" i="13" s="1"/>
  <c r="F4" i="13" a="1"/>
  <c r="F4" i="13" s="1"/>
  <c r="F3" i="13" a="1"/>
  <c r="F3" i="13" s="1"/>
  <c r="F2" i="13" a="1"/>
  <c r="F2" i="13" s="1"/>
  <c r="E10" i="13" a="1"/>
  <c r="E10" i="13" s="1"/>
  <c r="E9" i="13" a="1"/>
  <c r="E9" i="13" s="1"/>
  <c r="E8" i="13" a="1"/>
  <c r="E8" i="13" s="1"/>
  <c r="E7" i="13" a="1"/>
  <c r="E7" i="13" s="1"/>
  <c r="E6" i="13" a="1"/>
  <c r="E6" i="13" s="1"/>
  <c r="E5" i="13" a="1"/>
  <c r="E5" i="13" s="1"/>
  <c r="E4" i="13" a="1"/>
  <c r="E4" i="13" s="1"/>
  <c r="E3" i="13" a="1"/>
  <c r="E3" i="13" s="1"/>
  <c r="E2" i="13" a="1"/>
  <c r="E2" i="13" s="1"/>
  <c r="D10" i="13" a="1"/>
  <c r="D10" i="13" s="1"/>
  <c r="D9" i="13" a="1"/>
  <c r="D9" i="13" s="1"/>
  <c r="D8" i="13" a="1"/>
  <c r="D8" i="13" s="1"/>
  <c r="D7" i="13" a="1"/>
  <c r="D7" i="13" s="1"/>
  <c r="D6" i="13" a="1"/>
  <c r="D6" i="13" s="1"/>
  <c r="D5" i="13" a="1"/>
  <c r="D5" i="13" s="1"/>
  <c r="D4" i="13" a="1"/>
  <c r="D4" i="13" s="1"/>
  <c r="D3" i="13" a="1"/>
  <c r="D3" i="13" s="1"/>
  <c r="D2" i="13" a="1"/>
  <c r="D2" i="13" s="1"/>
  <c r="C10" i="13" a="1"/>
  <c r="C10" i="13" s="1"/>
  <c r="C9" i="13" a="1"/>
  <c r="C9" i="13" s="1"/>
  <c r="C8" i="13" a="1"/>
  <c r="C8" i="13" s="1"/>
  <c r="C7" i="13" a="1"/>
  <c r="C7" i="13" s="1"/>
  <c r="C6" i="13" a="1"/>
  <c r="C6" i="13" s="1"/>
  <c r="C5" i="13" a="1"/>
  <c r="C5" i="13" s="1"/>
  <c r="C4" i="13" a="1"/>
  <c r="C4" i="13" s="1"/>
  <c r="C3" i="13" a="1"/>
  <c r="C3" i="13" s="1"/>
  <c r="C2" i="13" a="1"/>
  <c r="C2" i="13" s="1"/>
  <c r="C3" i="9" l="1"/>
  <c r="Y93" i="8" l="1"/>
  <c r="Y94" i="8"/>
  <c r="Y95" i="8"/>
  <c r="Y96" i="8"/>
  <c r="Y97" i="8"/>
  <c r="Y98" i="8"/>
  <c r="Y99" i="8"/>
  <c r="Y100" i="8"/>
  <c r="Y31" i="8"/>
  <c r="Y32" i="8"/>
  <c r="Y33" i="8"/>
  <c r="Y34" i="8"/>
  <c r="Y35" i="8"/>
  <c r="Y36" i="8"/>
  <c r="Y37" i="8"/>
  <c r="Y38" i="8"/>
  <c r="Y39" i="8"/>
  <c r="Y40" i="8"/>
  <c r="Y41" i="8"/>
  <c r="Y42" i="8"/>
  <c r="Y43" i="8"/>
  <c r="Y44" i="8"/>
  <c r="Y45" i="8"/>
  <c r="Y46" i="8"/>
  <c r="Y47" i="8"/>
  <c r="Y48" i="8"/>
  <c r="Y49" i="8"/>
  <c r="Y50" i="8"/>
  <c r="Y51" i="8"/>
  <c r="Y52" i="8"/>
  <c r="Y53" i="8"/>
  <c r="Y54" i="8"/>
  <c r="Y55" i="8"/>
  <c r="Y56" i="8"/>
  <c r="Y57" i="8"/>
  <c r="Y58" i="8"/>
  <c r="Y59" i="8"/>
  <c r="Y60" i="8"/>
  <c r="Y61" i="8"/>
  <c r="Y62" i="8"/>
  <c r="Y63" i="8"/>
  <c r="Y64" i="8"/>
  <c r="Y65" i="8"/>
  <c r="Y66" i="8"/>
  <c r="Y67" i="8"/>
  <c r="Y68" i="8"/>
  <c r="Y69" i="8"/>
  <c r="Y70" i="8"/>
  <c r="Y71" i="8"/>
  <c r="Y72" i="8"/>
  <c r="Y73" i="8"/>
  <c r="Y74" i="8"/>
  <c r="Y75" i="8"/>
  <c r="Y76" i="8"/>
  <c r="Y77" i="8"/>
  <c r="Y78" i="8"/>
  <c r="Y79" i="8"/>
  <c r="Y80" i="8"/>
  <c r="Y81" i="8"/>
  <c r="Y82" i="8"/>
  <c r="Y83" i="8"/>
  <c r="Y84" i="8"/>
  <c r="Y85" i="8"/>
  <c r="Y86" i="8"/>
  <c r="Y87" i="8"/>
  <c r="Y88" i="8"/>
  <c r="Y89" i="8"/>
  <c r="Y90" i="8"/>
  <c r="Y91" i="8"/>
  <c r="Y92" i="8"/>
  <c r="Z93" i="8"/>
  <c r="AB93" i="8" s="1"/>
  <c r="Z97" i="8"/>
  <c r="AB97" i="8" s="1"/>
  <c r="Z89" i="8" l="1"/>
  <c r="AB89" i="8" s="1"/>
  <c r="Z81" i="8"/>
  <c r="AB81" i="8" s="1"/>
  <c r="Z73" i="8"/>
  <c r="AB73" i="8" s="1"/>
  <c r="Z69" i="8"/>
  <c r="AB69" i="8" s="1"/>
  <c r="Z61" i="8"/>
  <c r="AB61" i="8" s="1"/>
  <c r="Z57" i="8"/>
  <c r="AB57" i="8" s="1"/>
  <c r="Z53" i="8"/>
  <c r="AB53" i="8" s="1"/>
  <c r="Z49" i="8"/>
  <c r="AB49" i="8" s="1"/>
  <c r="Z45" i="8"/>
  <c r="AB45" i="8" s="1"/>
  <c r="Z41" i="8"/>
  <c r="AB41" i="8" s="1"/>
  <c r="Z37" i="8"/>
  <c r="AB37" i="8" s="1"/>
  <c r="Z33" i="8"/>
  <c r="AB33" i="8" s="1"/>
  <c r="Z85" i="8"/>
  <c r="AB85" i="8" s="1"/>
  <c r="Z77" i="8"/>
  <c r="AB77" i="8" s="1"/>
  <c r="Z65" i="8"/>
  <c r="AB65" i="8" s="1"/>
  <c r="Z96" i="8"/>
  <c r="AB96" i="8" s="1"/>
  <c r="Z92" i="8"/>
  <c r="AB92" i="8" s="1"/>
  <c r="Z88" i="8"/>
  <c r="AB88" i="8" s="1"/>
  <c r="Z76" i="8"/>
  <c r="AB76" i="8" s="1"/>
  <c r="Z99" i="8"/>
  <c r="AB99" i="8" s="1"/>
  <c r="Z95" i="8"/>
  <c r="AB95" i="8" s="1"/>
  <c r="Z84" i="8"/>
  <c r="AB84" i="8" s="1"/>
  <c r="Z80" i="8"/>
  <c r="AB80" i="8" s="1"/>
  <c r="Z72" i="8"/>
  <c r="AB72" i="8" s="1"/>
  <c r="Z68" i="8"/>
  <c r="AB68" i="8" s="1"/>
  <c r="Z64" i="8"/>
  <c r="AB64" i="8" s="1"/>
  <c r="Z60" i="8"/>
  <c r="AB60" i="8" s="1"/>
  <c r="Z56" i="8"/>
  <c r="AB56" i="8" s="1"/>
  <c r="Z52" i="8"/>
  <c r="AB52" i="8" s="1"/>
  <c r="Z48" i="8"/>
  <c r="AB48" i="8" s="1"/>
  <c r="Z44" i="8"/>
  <c r="AB44" i="8" s="1"/>
  <c r="Z40" i="8"/>
  <c r="AB40" i="8" s="1"/>
  <c r="Z36" i="8"/>
  <c r="AB36" i="8" s="1"/>
  <c r="Z32" i="8"/>
  <c r="AB32" i="8" s="1"/>
  <c r="Z91" i="8"/>
  <c r="AB91" i="8" s="1"/>
  <c r="Z87" i="8"/>
  <c r="AB87" i="8" s="1"/>
  <c r="Z83" i="8"/>
  <c r="AB83" i="8" s="1"/>
  <c r="Z79" i="8"/>
  <c r="AB79" i="8" s="1"/>
  <c r="Z75" i="8"/>
  <c r="AB75" i="8" s="1"/>
  <c r="Z71" i="8"/>
  <c r="AB71" i="8" s="1"/>
  <c r="Z67" i="8"/>
  <c r="AB67" i="8" s="1"/>
  <c r="Z63" i="8"/>
  <c r="AB63" i="8" s="1"/>
  <c r="Z59" i="8"/>
  <c r="AB59" i="8" s="1"/>
  <c r="Z55" i="8"/>
  <c r="AB55" i="8" s="1"/>
  <c r="Z51" i="8"/>
  <c r="AB51" i="8" s="1"/>
  <c r="Z47" i="8"/>
  <c r="AB47" i="8" s="1"/>
  <c r="Z43" i="8"/>
  <c r="AB43" i="8" s="1"/>
  <c r="Z39" i="8"/>
  <c r="AB39" i="8" s="1"/>
  <c r="Z35" i="8"/>
  <c r="AB35" i="8" s="1"/>
  <c r="Z31" i="8"/>
  <c r="AB31" i="8" s="1"/>
  <c r="Z98" i="8"/>
  <c r="AB98" i="8" s="1"/>
  <c r="Z94" i="8"/>
  <c r="AB94" i="8" s="1"/>
  <c r="Z90" i="8"/>
  <c r="AB90" i="8" s="1"/>
  <c r="Z86" i="8"/>
  <c r="AB86" i="8" s="1"/>
  <c r="Z82" i="8"/>
  <c r="AB82" i="8" s="1"/>
  <c r="Z78" i="8"/>
  <c r="AB78" i="8" s="1"/>
  <c r="Z74" i="8"/>
  <c r="AB74" i="8" s="1"/>
  <c r="Z70" i="8"/>
  <c r="AB70" i="8" s="1"/>
  <c r="Z66" i="8"/>
  <c r="AB66" i="8" s="1"/>
  <c r="Z62" i="8"/>
  <c r="AB62" i="8" s="1"/>
  <c r="Z58" i="8"/>
  <c r="AB58" i="8" s="1"/>
  <c r="Z54" i="8"/>
  <c r="AB54" i="8" s="1"/>
  <c r="Z50" i="8"/>
  <c r="AB50" i="8" s="1"/>
  <c r="Z46" i="8"/>
  <c r="AB46" i="8" s="1"/>
  <c r="Z42" i="8"/>
  <c r="AB42" i="8" s="1"/>
  <c r="Z38" i="8"/>
  <c r="AB38" i="8" s="1"/>
  <c r="Z34" i="8"/>
  <c r="AB34" i="8" s="1"/>
  <c r="Z100" i="8"/>
  <c r="AB100" i="8" s="1"/>
  <c r="K1040" i="9"/>
  <c r="K1039" i="9"/>
  <c r="K1038" i="9"/>
  <c r="K1037" i="9"/>
  <c r="K1036" i="9"/>
  <c r="K1035" i="9"/>
  <c r="K1034" i="9"/>
  <c r="K1033" i="9"/>
  <c r="K1024" i="9"/>
  <c r="K1025" i="9"/>
  <c r="K1026" i="9"/>
  <c r="K1027" i="9"/>
  <c r="K1028" i="9"/>
  <c r="K1029" i="9"/>
  <c r="K1023" i="9"/>
  <c r="N9" i="13" l="1"/>
  <c r="N6" i="13"/>
  <c r="N7" i="13"/>
  <c r="N8" i="13"/>
  <c r="N10" i="13"/>
  <c r="N3" i="13"/>
  <c r="N5" i="13"/>
  <c r="N2" i="13"/>
  <c r="N4" i="13"/>
  <c r="D239" i="9"/>
  <c r="K172" i="9"/>
  <c r="K170" i="9"/>
  <c r="Y5" i="8"/>
  <c r="Z5" i="8" s="1"/>
  <c r="Y6" i="8"/>
  <c r="Z6" i="8" s="1"/>
  <c r="Y8" i="8"/>
  <c r="Z8" i="8" s="1"/>
  <c r="Y9" i="8"/>
  <c r="Z9" i="8" s="1"/>
  <c r="Y10" i="8"/>
  <c r="Z10" i="8" s="1"/>
  <c r="Y11" i="8"/>
  <c r="Z11" i="8" s="1"/>
  <c r="Y12" i="8"/>
  <c r="Z12" i="8" s="1"/>
  <c r="Y13" i="8"/>
  <c r="Z13" i="8" s="1"/>
  <c r="Y14" i="8"/>
  <c r="Z14" i="8" s="1"/>
  <c r="Y15" i="8"/>
  <c r="Z15" i="8" s="1"/>
  <c r="Y16" i="8"/>
  <c r="Z16" i="8" s="1"/>
  <c r="Y17" i="8"/>
  <c r="Z17" i="8" s="1"/>
  <c r="Y18" i="8"/>
  <c r="Z18" i="8" s="1"/>
  <c r="Y19" i="8"/>
  <c r="Z19" i="8" s="1"/>
  <c r="Y20" i="8"/>
  <c r="Z20" i="8" s="1"/>
  <c r="Y21" i="8"/>
  <c r="Z21" i="8" s="1"/>
  <c r="Y22" i="8"/>
  <c r="Z22" i="8" s="1"/>
  <c r="Y23" i="8"/>
  <c r="Z23" i="8" s="1"/>
  <c r="Y24" i="8"/>
  <c r="Z24" i="8" s="1"/>
  <c r="Y25" i="8"/>
  <c r="Z25" i="8" s="1"/>
  <c r="Y26" i="8"/>
  <c r="Z26" i="8" s="1"/>
  <c r="Y27" i="8"/>
  <c r="Z27" i="8" s="1"/>
  <c r="AB27" i="8" s="1"/>
  <c r="Y28" i="8"/>
  <c r="Z28" i="8" s="1"/>
  <c r="AB28" i="8" s="1"/>
  <c r="Y29" i="8"/>
  <c r="Z29" i="8" s="1"/>
  <c r="AB29" i="8" s="1"/>
  <c r="Y30" i="8"/>
  <c r="Z30" i="8" s="1"/>
  <c r="AB30" i="8" s="1"/>
  <c r="K171" i="9" l="1"/>
  <c r="H3" i="13"/>
  <c r="H4" i="13"/>
  <c r="H5" i="13"/>
  <c r="H6" i="13"/>
  <c r="H7" i="13"/>
  <c r="AA7" i="13" s="1"/>
  <c r="H8" i="13"/>
  <c r="AA8" i="13" s="1"/>
  <c r="H9" i="13"/>
  <c r="AA9" i="13" s="1"/>
  <c r="H10" i="13"/>
  <c r="AA10" i="13" s="1"/>
  <c r="H2" i="13"/>
  <c r="M10" i="1"/>
  <c r="K79" i="9"/>
  <c r="K78" i="9"/>
  <c r="K77" i="9"/>
  <c r="K76" i="9"/>
  <c r="K75" i="9"/>
  <c r="K74" i="9"/>
  <c r="K73" i="9"/>
  <c r="K72" i="9"/>
  <c r="K71" i="9"/>
  <c r="K70" i="9"/>
  <c r="K58" i="9"/>
  <c r="K59" i="9"/>
  <c r="K60" i="9"/>
  <c r="K61" i="9"/>
  <c r="K62" i="9"/>
  <c r="K64" i="9"/>
  <c r="K65" i="9"/>
  <c r="K66" i="9"/>
  <c r="K67" i="9"/>
  <c r="K68" i="9"/>
  <c r="K57" i="9"/>
  <c r="K45" i="9"/>
  <c r="K44" i="9"/>
  <c r="K43" i="9"/>
  <c r="K41" i="9"/>
  <c r="K40" i="9"/>
  <c r="F15" i="9" l="1"/>
  <c r="K47" i="9"/>
  <c r="H825" i="9"/>
  <c r="G771" i="9" l="1"/>
  <c r="Q261" i="1" l="1"/>
  <c r="Q262" i="1"/>
  <c r="Q263" i="1"/>
  <c r="Q266" i="1"/>
  <c r="Q267" i="1"/>
  <c r="Q268" i="1"/>
  <c r="Q269" i="1"/>
  <c r="Q270" i="1"/>
  <c r="Q271" i="1"/>
  <c r="D233" i="9" l="1"/>
  <c r="D225" i="9"/>
  <c r="D215" i="9"/>
  <c r="I198" i="9" a="1"/>
  <c r="I198" i="9" s="1"/>
  <c r="I193" i="9" a="1"/>
  <c r="I193" i="9" s="1"/>
  <c r="I204" i="9" s="1"/>
  <c r="L223" i="9" l="1"/>
  <c r="L225" i="9" s="1"/>
  <c r="K46" i="9"/>
  <c r="E246" i="9"/>
  <c r="L227" i="9" l="1"/>
  <c r="I200" i="9"/>
  <c r="K48" i="9"/>
  <c r="L30" i="9" s="1"/>
  <c r="E248" i="9"/>
  <c r="G56" i="9"/>
  <c r="H56" i="9"/>
  <c r="I56" i="9"/>
  <c r="J56" i="9"/>
  <c r="F56" i="9"/>
  <c r="K165" i="9" l="1"/>
  <c r="K164" i="9"/>
  <c r="K166" i="9"/>
  <c r="G140" i="9" l="1"/>
  <c r="H140" i="9"/>
  <c r="I140" i="9"/>
  <c r="J140" i="9"/>
  <c r="F140" i="9"/>
  <c r="G127" i="9"/>
  <c r="H127" i="9"/>
  <c r="I127" i="9"/>
  <c r="J127" i="9"/>
  <c r="F127" i="9"/>
  <c r="G114" i="9"/>
  <c r="H114" i="9"/>
  <c r="I114" i="9"/>
  <c r="J114" i="9"/>
  <c r="F114" i="9"/>
  <c r="G101" i="9"/>
  <c r="H101" i="9"/>
  <c r="I101" i="9"/>
  <c r="J101" i="9"/>
  <c r="F101" i="9"/>
  <c r="N262" i="1"/>
  <c r="O262" i="1"/>
  <c r="P262" i="1"/>
  <c r="N263" i="1"/>
  <c r="O263" i="1"/>
  <c r="P263" i="1"/>
  <c r="N266" i="1"/>
  <c r="O266" i="1"/>
  <c r="P266" i="1"/>
  <c r="N267" i="1"/>
  <c r="O267" i="1"/>
  <c r="P267" i="1"/>
  <c r="N268" i="1"/>
  <c r="O268" i="1"/>
  <c r="P268" i="1"/>
  <c r="N269" i="1"/>
  <c r="O269" i="1"/>
  <c r="P269" i="1"/>
  <c r="N270" i="1"/>
  <c r="O270" i="1"/>
  <c r="P270" i="1"/>
  <c r="N271" i="1"/>
  <c r="O271" i="1"/>
  <c r="P271" i="1"/>
  <c r="N272" i="1"/>
  <c r="O272" i="1"/>
  <c r="P272" i="1"/>
  <c r="Q272" i="1"/>
  <c r="N273" i="1"/>
  <c r="O273" i="1"/>
  <c r="P273" i="1"/>
  <c r="Q273" i="1"/>
  <c r="N274" i="1"/>
  <c r="O274" i="1"/>
  <c r="P274" i="1"/>
  <c r="Q274" i="1"/>
  <c r="N292" i="1"/>
  <c r="O292" i="1"/>
  <c r="P292" i="1"/>
  <c r="Q292" i="1"/>
  <c r="N293" i="1"/>
  <c r="O293" i="1"/>
  <c r="P293" i="1"/>
  <c r="Q293" i="1"/>
  <c r="N294" i="1"/>
  <c r="O294" i="1"/>
  <c r="P294" i="1"/>
  <c r="Q294" i="1"/>
  <c r="N295" i="1"/>
  <c r="O295" i="1"/>
  <c r="P295" i="1"/>
  <c r="Q295" i="1"/>
  <c r="N296" i="1"/>
  <c r="O296" i="1"/>
  <c r="P296" i="1"/>
  <c r="Q296" i="1"/>
  <c r="N297" i="1"/>
  <c r="O297" i="1"/>
  <c r="P297" i="1"/>
  <c r="Q297" i="1"/>
  <c r="N298" i="1"/>
  <c r="O298" i="1"/>
  <c r="P298" i="1"/>
  <c r="Q298" i="1"/>
  <c r="N299" i="1"/>
  <c r="O299" i="1"/>
  <c r="P299" i="1"/>
  <c r="Q299" i="1"/>
  <c r="N300" i="1"/>
  <c r="O300" i="1"/>
  <c r="P300" i="1"/>
  <c r="Q300" i="1"/>
  <c r="N301" i="1"/>
  <c r="O301" i="1"/>
  <c r="P301" i="1"/>
  <c r="Q301" i="1"/>
  <c r="N302" i="1"/>
  <c r="O302" i="1"/>
  <c r="P302" i="1"/>
  <c r="Q302" i="1"/>
  <c r="N303" i="1"/>
  <c r="O303" i="1"/>
  <c r="P303" i="1"/>
  <c r="Q303" i="1"/>
  <c r="N304" i="1"/>
  <c r="O304" i="1"/>
  <c r="P304" i="1"/>
  <c r="Q304" i="1"/>
  <c r="N305" i="1"/>
  <c r="O305" i="1"/>
  <c r="P305" i="1"/>
  <c r="Q305" i="1"/>
  <c r="N308" i="1"/>
  <c r="O308" i="1"/>
  <c r="P308" i="1"/>
  <c r="Q308" i="1"/>
  <c r="N311" i="1"/>
  <c r="O311" i="1"/>
  <c r="P311" i="1"/>
  <c r="Q311" i="1"/>
  <c r="K10" i="1"/>
  <c r="Y2" i="8" l="1"/>
  <c r="K274" i="9"/>
  <c r="J274" i="9"/>
  <c r="H274" i="9"/>
  <c r="I274" i="9"/>
  <c r="L274" i="9"/>
  <c r="I154" i="9"/>
  <c r="I155" i="9" s="1"/>
  <c r="H154" i="9"/>
  <c r="H155" i="9" s="1"/>
  <c r="G154" i="9"/>
  <c r="G155" i="9" s="1"/>
  <c r="J154" i="9"/>
  <c r="J155" i="9" s="1"/>
  <c r="F154" i="9"/>
  <c r="J273" i="9"/>
  <c r="H273" i="9"/>
  <c r="I273" i="9"/>
  <c r="K273" i="9"/>
  <c r="L273" i="9"/>
  <c r="F153" i="9"/>
  <c r="I153" i="9"/>
  <c r="H153" i="9"/>
  <c r="G153" i="9"/>
  <c r="J153" i="9"/>
  <c r="K101" i="9"/>
  <c r="K127" i="9"/>
  <c r="K114" i="9"/>
  <c r="K140" i="9"/>
  <c r="N4" i="1"/>
  <c r="A302" i="1"/>
  <c r="P261" i="1"/>
  <c r="Q10" i="1"/>
  <c r="A295" i="1"/>
  <c r="A296" i="1"/>
  <c r="A297" i="1"/>
  <c r="A298" i="1"/>
  <c r="A299" i="1"/>
  <c r="A300" i="1"/>
  <c r="A301" i="1"/>
  <c r="A303" i="1"/>
  <c r="A304" i="1"/>
  <c r="A305" i="1"/>
  <c r="A308" i="1"/>
  <c r="A311" i="1"/>
  <c r="A294" i="1"/>
  <c r="A293" i="1"/>
  <c r="Z2" i="8" l="1"/>
  <c r="M274" i="9"/>
  <c r="M273" i="9"/>
  <c r="I169" i="9"/>
  <c r="I167" i="9" s="1"/>
  <c r="J169" i="9"/>
  <c r="J167" i="9" s="1"/>
  <c r="H169" i="9"/>
  <c r="H167" i="9" s="1"/>
  <c r="G169" i="9"/>
  <c r="G167" i="9" s="1"/>
  <c r="F169" i="9"/>
  <c r="K154" i="9"/>
  <c r="K155" i="9" s="1"/>
  <c r="J163" i="9"/>
  <c r="I163" i="9"/>
  <c r="K153" i="9"/>
  <c r="A270" i="1"/>
  <c r="A271" i="1"/>
  <c r="A272" i="1"/>
  <c r="A273" i="1"/>
  <c r="A274" i="1"/>
  <c r="A292" i="1"/>
  <c r="A261" i="1"/>
  <c r="A262" i="1"/>
  <c r="A263" i="1"/>
  <c r="A266" i="1"/>
  <c r="A267" i="1"/>
  <c r="A268" i="1"/>
  <c r="A269" i="1"/>
  <c r="A10" i="1"/>
  <c r="O261" i="1"/>
  <c r="P10" i="1"/>
  <c r="O10" i="1"/>
  <c r="N261" i="1"/>
  <c r="N10" i="1"/>
  <c r="F167" i="9" l="1"/>
  <c r="K169" i="9"/>
  <c r="K167" i="9" s="1"/>
  <c r="I174" i="9"/>
  <c r="I175" i="9" s="1"/>
  <c r="J174" i="9"/>
  <c r="J175" i="9" s="1"/>
  <c r="I178" i="9" l="1"/>
  <c r="I181" i="9"/>
  <c r="J181" i="9"/>
  <c r="J178" i="9"/>
  <c r="J177" i="9"/>
  <c r="J180" i="9"/>
  <c r="I177" i="9"/>
  <c r="I180" i="9"/>
  <c r="G12" i="12"/>
  <c r="G13" i="12"/>
  <c r="G14" i="12"/>
  <c r="G3" i="12" s="1"/>
  <c r="G15" i="12"/>
  <c r="G4" i="12" s="1"/>
  <c r="G16" i="12"/>
  <c r="G5" i="12" s="1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11" i="12"/>
  <c r="D5" i="12"/>
  <c r="C5" i="12"/>
  <c r="B6" i="12"/>
  <c r="B5" i="12"/>
  <c r="B4" i="12"/>
  <c r="B3" i="12"/>
  <c r="G6" i="12"/>
  <c r="G7" i="12"/>
  <c r="G8" i="12" l="1"/>
  <c r="K277" i="9"/>
  <c r="K276" i="9"/>
  <c r="L277" i="9"/>
  <c r="L276" i="9"/>
  <c r="L268" i="9"/>
  <c r="K268" i="9"/>
  <c r="L267" i="9"/>
  <c r="K267" i="9"/>
  <c r="AA31" i="8"/>
  <c r="AA32" i="8"/>
  <c r="AA33" i="8"/>
  <c r="AA34" i="8"/>
  <c r="AA35" i="8"/>
  <c r="AA36" i="8"/>
  <c r="AA37" i="8"/>
  <c r="AA38" i="8"/>
  <c r="AA39" i="8"/>
  <c r="AA40" i="8"/>
  <c r="AA41" i="8"/>
  <c r="AA42" i="8"/>
  <c r="AA43" i="8"/>
  <c r="AA44" i="8"/>
  <c r="AA45" i="8"/>
  <c r="AA46" i="8"/>
  <c r="AA47" i="8"/>
  <c r="AA48" i="8"/>
  <c r="AA49" i="8"/>
  <c r="AA50" i="8"/>
  <c r="AA51" i="8"/>
  <c r="AA52" i="8"/>
  <c r="AA53" i="8"/>
  <c r="AA54" i="8"/>
  <c r="AA55" i="8"/>
  <c r="AA56" i="8"/>
  <c r="AA57" i="8"/>
  <c r="AA58" i="8"/>
  <c r="AA59" i="8"/>
  <c r="AA60" i="8"/>
  <c r="AA61" i="8"/>
  <c r="AA62" i="8"/>
  <c r="AA63" i="8"/>
  <c r="AA64" i="8"/>
  <c r="AA65" i="8"/>
  <c r="AA66" i="8"/>
  <c r="AA67" i="8"/>
  <c r="AA68" i="8"/>
  <c r="AA69" i="8"/>
  <c r="AA70" i="8"/>
  <c r="AA71" i="8"/>
  <c r="AA72" i="8"/>
  <c r="AA73" i="8"/>
  <c r="AA74" i="8"/>
  <c r="AA75" i="8"/>
  <c r="AA76" i="8"/>
  <c r="AA77" i="8"/>
  <c r="AA78" i="8"/>
  <c r="AA79" i="8"/>
  <c r="AA80" i="8"/>
  <c r="AA81" i="8"/>
  <c r="AA82" i="8"/>
  <c r="AA83" i="8"/>
  <c r="AA84" i="8"/>
  <c r="AA85" i="8"/>
  <c r="AA86" i="8"/>
  <c r="AA87" i="8"/>
  <c r="AA88" i="8"/>
  <c r="AA89" i="8"/>
  <c r="AA90" i="8"/>
  <c r="AA91" i="8"/>
  <c r="AA92" i="8"/>
  <c r="AA93" i="8"/>
  <c r="AA94" i="8"/>
  <c r="AA95" i="8"/>
  <c r="AA96" i="8"/>
  <c r="AA97" i="8"/>
  <c r="AA98" i="8"/>
  <c r="AA99" i="8"/>
  <c r="AB5" i="8"/>
  <c r="AB6" i="8"/>
  <c r="AB10" i="8"/>
  <c r="AB14" i="8"/>
  <c r="AB18" i="8"/>
  <c r="AB22" i="8"/>
  <c r="AB26" i="8"/>
  <c r="AA100" i="8"/>
  <c r="C5" i="1"/>
  <c r="C4" i="1"/>
  <c r="C3" i="1"/>
  <c r="C2" i="1"/>
  <c r="M4" i="1"/>
  <c r="D2" i="1"/>
  <c r="Y3" i="8" l="1"/>
  <c r="S10" i="13" a="1"/>
  <c r="S10" i="13" s="1"/>
  <c r="O4" i="13" a="1"/>
  <c r="O4" i="13" s="1"/>
  <c r="P8" i="13" a="1"/>
  <c r="P8" i="13" s="1"/>
  <c r="R2" i="13" a="1"/>
  <c r="R2" i="13" s="1"/>
  <c r="R10" i="13" a="1"/>
  <c r="R10" i="13" s="1"/>
  <c r="P9" i="13" a="1"/>
  <c r="P9" i="13" s="1"/>
  <c r="S3" i="13" a="1"/>
  <c r="S3" i="13" s="1"/>
  <c r="O5" i="13" a="1"/>
  <c r="O5" i="13" s="1"/>
  <c r="P4" i="13" a="1"/>
  <c r="P4" i="13" s="1"/>
  <c r="O6" i="13" a="1"/>
  <c r="O6" i="13" s="1"/>
  <c r="Q4" i="13" a="1"/>
  <c r="Q4" i="13" s="1"/>
  <c r="S8" i="13" a="1"/>
  <c r="S8" i="13" s="1"/>
  <c r="R4" i="13" a="1"/>
  <c r="R4" i="13" s="1"/>
  <c r="Q10" i="13" a="1"/>
  <c r="Q10" i="13" s="1"/>
  <c r="O9" i="13" a="1"/>
  <c r="O9" i="13" s="1"/>
  <c r="R8" i="13" a="1"/>
  <c r="R8" i="13" s="1"/>
  <c r="P6" i="13" a="1"/>
  <c r="P6" i="13" s="1"/>
  <c r="O8" i="13" a="1"/>
  <c r="O8" i="13" s="1"/>
  <c r="O7" i="13" a="1"/>
  <c r="O7" i="13" s="1"/>
  <c r="O2" i="13" a="1"/>
  <c r="O2" i="13" s="1"/>
  <c r="O3" i="13" a="1"/>
  <c r="O3" i="13" s="1"/>
  <c r="P3" i="13" a="1"/>
  <c r="P3" i="13" s="1"/>
  <c r="R6" i="13" a="1"/>
  <c r="R6" i="13" s="1"/>
  <c r="S4" i="13" a="1"/>
  <c r="S4" i="13" s="1"/>
  <c r="Q8" i="13" a="1"/>
  <c r="Q8" i="13" s="1"/>
  <c r="P5" i="13" a="1"/>
  <c r="P5" i="13" s="1"/>
  <c r="R5" i="13" a="1"/>
  <c r="R5" i="13" s="1"/>
  <c r="S5" i="13" a="1"/>
  <c r="S5" i="13" s="1"/>
  <c r="P10" i="13" a="1"/>
  <c r="P10" i="13" s="1"/>
  <c r="S6" i="13" a="1"/>
  <c r="S6" i="13" s="1"/>
  <c r="Q9" i="13" a="1"/>
  <c r="Q9" i="13" s="1"/>
  <c r="R9" i="13" a="1"/>
  <c r="R9" i="13" s="1"/>
  <c r="S7" i="13" a="1"/>
  <c r="S7" i="13" s="1"/>
  <c r="R3" i="13" a="1"/>
  <c r="R3" i="13" s="1"/>
  <c r="Q5" i="13" a="1"/>
  <c r="Q5" i="13" s="1"/>
  <c r="P2" i="13" a="1"/>
  <c r="P2" i="13" s="1"/>
  <c r="Q6" i="13" a="1"/>
  <c r="Q6" i="13" s="1"/>
  <c r="S9" i="13" a="1"/>
  <c r="S9" i="13" s="1"/>
  <c r="S2" i="13" a="1"/>
  <c r="S2" i="13" s="1"/>
  <c r="P7" i="13" a="1"/>
  <c r="P7" i="13" s="1"/>
  <c r="O10" i="13" a="1"/>
  <c r="O10" i="13" s="1"/>
  <c r="Q3" i="13" a="1"/>
  <c r="Q3" i="13" s="1"/>
  <c r="Q7" i="13" a="1"/>
  <c r="Q7" i="13" s="1"/>
  <c r="Q2" i="13" a="1"/>
  <c r="Q2" i="13" s="1"/>
  <c r="R7" i="13" a="1"/>
  <c r="R7" i="13" s="1"/>
  <c r="Z3" i="8"/>
  <c r="AB3" i="8" s="1"/>
  <c r="G163" i="9"/>
  <c r="G174" i="9" s="1"/>
  <c r="G175" i="9" s="1"/>
  <c r="Y4" i="8"/>
  <c r="Z4" i="8" s="1"/>
  <c r="AB4" i="8" s="1"/>
  <c r="AA2" i="8"/>
  <c r="Y7" i="8"/>
  <c r="F163" i="9"/>
  <c r="F174" i="9" s="1"/>
  <c r="H163" i="9"/>
  <c r="AA6" i="8"/>
  <c r="AA18" i="8"/>
  <c r="AA29" i="8"/>
  <c r="AA25" i="8"/>
  <c r="AB25" i="8"/>
  <c r="AA21" i="8"/>
  <c r="AB21" i="8"/>
  <c r="AA17" i="8"/>
  <c r="AB17" i="8"/>
  <c r="AA13" i="8"/>
  <c r="AB13" i="8"/>
  <c r="AA9" i="8"/>
  <c r="AB9" i="8"/>
  <c r="AA30" i="8"/>
  <c r="AA14" i="8"/>
  <c r="AA28" i="8"/>
  <c r="AA24" i="8"/>
  <c r="AB24" i="8"/>
  <c r="AA20" i="8"/>
  <c r="AB20" i="8"/>
  <c r="AA16" i="8"/>
  <c r="AB16" i="8"/>
  <c r="AA12" i="8"/>
  <c r="AB12" i="8"/>
  <c r="AA8" i="8"/>
  <c r="AB8" i="8"/>
  <c r="AA26" i="8"/>
  <c r="AA10" i="8"/>
  <c r="AA27" i="8"/>
  <c r="AA23" i="8"/>
  <c r="AB23" i="8"/>
  <c r="AA19" i="8"/>
  <c r="AB19" i="8"/>
  <c r="AA15" i="8"/>
  <c r="AB15" i="8"/>
  <c r="AA11" i="8"/>
  <c r="AB11" i="8"/>
  <c r="AA22" i="8"/>
  <c r="AA5" i="8"/>
  <c r="AA3" i="8"/>
  <c r="K7" i="1"/>
  <c r="AB2" i="8"/>
  <c r="V10" i="13" l="1"/>
  <c r="V9" i="13"/>
  <c r="Y9" i="13"/>
  <c r="W6" i="13"/>
  <c r="X10" i="13"/>
  <c r="U2" i="13"/>
  <c r="U9" i="13"/>
  <c r="Y8" i="13"/>
  <c r="W5" i="13"/>
  <c r="W4" i="13"/>
  <c r="W10" i="13"/>
  <c r="Y3" i="13"/>
  <c r="U8" i="13"/>
  <c r="Y2" i="13"/>
  <c r="Y7" i="13"/>
  <c r="W3" i="13"/>
  <c r="Y6" i="13"/>
  <c r="X8" i="13"/>
  <c r="V4" i="13"/>
  <c r="X7" i="13"/>
  <c r="W9" i="13"/>
  <c r="U5" i="13"/>
  <c r="W8" i="13"/>
  <c r="Y5" i="13"/>
  <c r="X5" i="13"/>
  <c r="V2" i="13"/>
  <c r="U3" i="13"/>
  <c r="V7" i="13"/>
  <c r="Y4" i="13"/>
  <c r="X4" i="13"/>
  <c r="X3" i="13"/>
  <c r="X9" i="13"/>
  <c r="V5" i="13"/>
  <c r="U7" i="13"/>
  <c r="X2" i="13"/>
  <c r="U6" i="13"/>
  <c r="W2" i="13"/>
  <c r="X6" i="13"/>
  <c r="U10" i="13"/>
  <c r="V3" i="13"/>
  <c r="W7" i="13"/>
  <c r="Y10" i="13"/>
  <c r="U4" i="13"/>
  <c r="V8" i="13"/>
  <c r="AA4" i="8"/>
  <c r="Z7" i="8"/>
  <c r="AA7" i="8"/>
  <c r="G178" i="9"/>
  <c r="G181" i="9"/>
  <c r="F180" i="9"/>
  <c r="F175" i="9"/>
  <c r="F181" i="9" s="1"/>
  <c r="G177" i="9"/>
  <c r="G180" i="9"/>
  <c r="H174" i="9"/>
  <c r="H175" i="9" s="1"/>
  <c r="K163" i="9"/>
  <c r="F69" i="9"/>
  <c r="G69" i="9"/>
  <c r="H69" i="9"/>
  <c r="I69" i="9"/>
  <c r="J69" i="9"/>
  <c r="G1030" i="9"/>
  <c r="H1030" i="9"/>
  <c r="I1030" i="9"/>
  <c r="J1030" i="9"/>
  <c r="G1041" i="9"/>
  <c r="H1041" i="9"/>
  <c r="I1041" i="9"/>
  <c r="J1041" i="9"/>
  <c r="Z9" i="13" l="1"/>
  <c r="Z10" i="13"/>
  <c r="Z4" i="13"/>
  <c r="AA4" i="13" s="1"/>
  <c r="Z3" i="13"/>
  <c r="AA3" i="13" s="1"/>
  <c r="Z2" i="13"/>
  <c r="AA2" i="13" s="1"/>
  <c r="Z6" i="13"/>
  <c r="AA6" i="13" s="1"/>
  <c r="Z7" i="13"/>
  <c r="Z5" i="13"/>
  <c r="AA5" i="13" s="1"/>
  <c r="Z8" i="13"/>
  <c r="T2" i="13"/>
  <c r="T7" i="13"/>
  <c r="T3" i="13"/>
  <c r="T4" i="13"/>
  <c r="T10" i="13"/>
  <c r="T9" i="13"/>
  <c r="T6" i="13"/>
  <c r="T8" i="13"/>
  <c r="T5" i="13"/>
  <c r="AB7" i="8"/>
  <c r="K1041" i="9"/>
  <c r="K1030" i="9"/>
  <c r="I276" i="9"/>
  <c r="I277" i="9"/>
  <c r="I268" i="9"/>
  <c r="H178" i="9"/>
  <c r="H181" i="9"/>
  <c r="K181" i="9" s="1"/>
  <c r="K175" i="9"/>
  <c r="K178" i="9" s="1"/>
  <c r="K174" i="9"/>
  <c r="K177" i="9" s="1"/>
  <c r="I267" i="9"/>
  <c r="H177" i="9"/>
  <c r="H180" i="9"/>
  <c r="J80" i="9"/>
  <c r="F80" i="9"/>
  <c r="H265" i="9" s="1"/>
  <c r="K69" i="9"/>
  <c r="I80" i="9"/>
  <c r="G80" i="9"/>
  <c r="K56" i="9"/>
  <c r="H80" i="9"/>
  <c r="T11" i="13" l="1"/>
  <c r="K180" i="9"/>
  <c r="J277" i="9"/>
  <c r="J276" i="9"/>
  <c r="I261" i="9"/>
  <c r="I265" i="9"/>
  <c r="I264" i="9"/>
  <c r="I271" i="9" s="1"/>
  <c r="K261" i="9"/>
  <c r="K265" i="9"/>
  <c r="K264" i="9"/>
  <c r="K271" i="9" s="1"/>
  <c r="K262" i="9"/>
  <c r="L261" i="9"/>
  <c r="L265" i="9"/>
  <c r="L264" i="9"/>
  <c r="L271" i="9" s="1"/>
  <c r="L262" i="9"/>
  <c r="J265" i="9"/>
  <c r="J264" i="9"/>
  <c r="J271" i="9" s="1"/>
  <c r="I262" i="9"/>
  <c r="J262" i="9"/>
  <c r="J268" i="9"/>
  <c r="J186" i="9"/>
  <c r="F178" i="9"/>
  <c r="H268" i="9" s="1"/>
  <c r="J267" i="9"/>
  <c r="F177" i="9"/>
  <c r="J261" i="9"/>
  <c r="J270" i="9" s="1"/>
  <c r="H264" i="9"/>
  <c r="K80" i="9"/>
  <c r="J190" i="9" s="1"/>
  <c r="H276" i="9" l="1"/>
  <c r="H277" i="9"/>
  <c r="M277" i="9"/>
  <c r="M276" i="9"/>
  <c r="L270" i="9"/>
  <c r="K270" i="9"/>
  <c r="M265" i="9"/>
  <c r="I270" i="9"/>
  <c r="M268" i="9"/>
  <c r="J184" i="9"/>
  <c r="J188" i="9"/>
  <c r="H267" i="9"/>
  <c r="M267" i="9" s="1"/>
  <c r="K223" i="9"/>
  <c r="I206" i="9"/>
  <c r="I190" i="9"/>
  <c r="H271" i="9" l="1"/>
  <c r="K231" i="9"/>
  <c r="L237" i="9" s="1"/>
  <c r="L231" i="9"/>
  <c r="I211" i="9"/>
  <c r="H270" i="9"/>
  <c r="M264" i="9"/>
  <c r="K225" i="9"/>
  <c r="K227" i="9"/>
  <c r="I188" i="9"/>
  <c r="I186" i="9"/>
  <c r="I184" i="9"/>
  <c r="F155" i="9"/>
  <c r="L239" i="9" l="1"/>
  <c r="L241" i="9" s="1"/>
  <c r="K237" i="9"/>
  <c r="H262" i="9"/>
  <c r="M262" i="9" s="1"/>
  <c r="M270" i="9"/>
  <c r="M271" i="9"/>
  <c r="L233" i="9"/>
  <c r="L235" i="9" s="1"/>
  <c r="K233" i="9"/>
  <c r="K235" i="9" s="1"/>
  <c r="I209" i="9"/>
  <c r="K213" i="9" s="1"/>
  <c r="K229" i="9" s="1"/>
  <c r="J209" i="9"/>
  <c r="L213" i="9" s="1"/>
  <c r="L229" i="9" s="1"/>
  <c r="H261" i="9"/>
  <c r="M261" i="9" s="1"/>
  <c r="K239" i="9" l="1"/>
  <c r="K241" i="9" s="1"/>
  <c r="J246" i="9"/>
  <c r="J248" i="9" s="1"/>
  <c r="M259" i="9"/>
  <c r="M258" i="9"/>
  <c r="L221" i="9"/>
  <c r="L215" i="9"/>
  <c r="L217" i="9" s="1"/>
  <c r="L219" i="9"/>
  <c r="I246" i="9"/>
  <c r="I248" i="9" s="1"/>
  <c r="K221" i="9"/>
  <c r="K215" i="9"/>
  <c r="K217" i="9" s="1"/>
  <c r="K219" i="9"/>
</calcChain>
</file>

<file path=xl/comments1.xml><?xml version="1.0" encoding="utf-8"?>
<comments xmlns="http://schemas.openxmlformats.org/spreadsheetml/2006/main">
  <authors>
    <author>Mojzis JaroslavX</author>
  </authors>
  <commentList>
    <comment ref="K899" authorId="0" shapeId="0">
      <text>
        <r>
          <rPr>
            <sz val="9"/>
            <color indexed="81"/>
            <rFont val="Tahoma"/>
            <family val="2"/>
            <charset val="238"/>
          </rPr>
          <t>Vložte dátum uzavretia projektovej zmluvy. Ak bol nákup schválený neskôr, vložte dátum schválenia správcom programu.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Mojzis JaroslavX</author>
  </authors>
  <commentList>
    <comment ref="R9" authorId="0" shapeId="0">
      <text>
        <r>
          <rPr>
            <sz val="9"/>
            <color indexed="81"/>
            <rFont val="Tahoma"/>
            <family val="2"/>
            <charset val="238"/>
          </rPr>
          <t>Vypĺňa správca programu</t>
        </r>
      </text>
    </comment>
  </commentList>
</comments>
</file>

<file path=xl/sharedStrings.xml><?xml version="1.0" encoding="utf-8"?>
<sst xmlns="http://schemas.openxmlformats.org/spreadsheetml/2006/main" count="1162" uniqueCount="784">
  <si>
    <t>5.2.7.</t>
  </si>
  <si>
    <t>5.2.8.</t>
  </si>
  <si>
    <t>ČASŤ V - ŽIADOSŤ O PLATBU</t>
  </si>
  <si>
    <t>6.1.7.</t>
  </si>
  <si>
    <t>6.1.8.</t>
  </si>
  <si>
    <t>6.1.9.</t>
  </si>
  <si>
    <t>6.1.10.</t>
  </si>
  <si>
    <t>6.1.11.</t>
  </si>
  <si>
    <t>6.1.12.</t>
  </si>
  <si>
    <t>6.1.13.</t>
  </si>
  <si>
    <t>6.1.14.</t>
  </si>
  <si>
    <t>Typ rizika</t>
  </si>
  <si>
    <t>Opis rizika</t>
  </si>
  <si>
    <t>Poznámky a plán zmierňovania rizika</t>
  </si>
  <si>
    <t>Riadenie projektu</t>
  </si>
  <si>
    <t>Je aspoň jeden z členov projektového tímu uznávaným odborníkom v danej oblasti?</t>
  </si>
  <si>
    <t>Existujú informácie, ktoré spájajú žiadateľa, partnerov alebo ich zamestnancov s prípadmi korupcie, podvodu alebo iných obdobných záväzných trestných činov?</t>
  </si>
  <si>
    <t>Má žiadateľ vytvorené interné smernice alebo Code of Conduct, akcentujúce nulovú toleranciu voči korupcii a nekalým obchodným praktikám?</t>
  </si>
  <si>
    <t>Uvažuje sa v projekte s najlepšou dostupnou technológiou, resp. metodológiou?</t>
  </si>
  <si>
    <t>Inovácie</t>
  </si>
  <si>
    <t>Obsahuje projekt inovácie, ktoré nikdy neboli uplatnené na trhu?</t>
  </si>
  <si>
    <t>Ak by inovácia zlyhala, ohrozí to implementáciu celého projektu?</t>
  </si>
  <si>
    <t>Generuje projekt príjmy, ktoré by mohli presiahnuť prevádzkové náklady projektu a vytvárať nadmerný zisk?</t>
  </si>
  <si>
    <t>Sú všetky okolité parcely, cez ktoré prechádza prístupová komunikácia k výsledku projektu vyporiadané, alebo je na nich vedené bremeno in rem?</t>
  </si>
  <si>
    <t>Ak sú nehnuteľnosti prenajaté, upravuje nájomná zmluva spôsob nakladania s majetkom a so zhodnotením majetku?</t>
  </si>
  <si>
    <t>Sú na majetku, ktorý bude predmetom projektu, vedené akékoľvek ťarchy, s výnimkou tých, ktoré vznikli v dôsledku spolufinancovania projektu z bankových úverov?</t>
  </si>
  <si>
    <t>Spoločenský konsenzus</t>
  </si>
  <si>
    <t xml:space="preserve">Je k dispozícii skúsený projektový  tím? </t>
  </si>
  <si>
    <t>Revelantné indikátory</t>
  </si>
  <si>
    <t>14.1.</t>
  </si>
  <si>
    <t>14.1.1.</t>
  </si>
  <si>
    <t>14.1.2.</t>
  </si>
  <si>
    <t>14.1.3.</t>
  </si>
  <si>
    <t>14.1.4.</t>
  </si>
  <si>
    <t>14.1.5.</t>
  </si>
  <si>
    <t>14.1.6.</t>
  </si>
  <si>
    <t>14.1.7.</t>
  </si>
  <si>
    <t>14.1.8.</t>
  </si>
  <si>
    <t>14.1.9.</t>
  </si>
  <si>
    <t>14.1.10.</t>
  </si>
  <si>
    <t>14.2.</t>
  </si>
  <si>
    <t>14.2.1.</t>
  </si>
  <si>
    <t>14.2.2.</t>
  </si>
  <si>
    <t>ROK</t>
  </si>
  <si>
    <t>N</t>
  </si>
  <si>
    <t>N+1</t>
  </si>
  <si>
    <t>N+2</t>
  </si>
  <si>
    <t>N+3</t>
  </si>
  <si>
    <t>Mzdové náklady</t>
  </si>
  <si>
    <t>Prevádzkové náklady</t>
  </si>
  <si>
    <t>Investičné náklady</t>
  </si>
  <si>
    <t>Iné - uviesť</t>
  </si>
  <si>
    <t>Tržby z predaja tovarov a služieb</t>
  </si>
  <si>
    <t>Výnosy z majetku</t>
  </si>
  <si>
    <t>Výnosy z nájmu</t>
  </si>
  <si>
    <t>Prijaté príspevky a dotácie</t>
  </si>
  <si>
    <t>Financovanie udržateľnosti projektu</t>
  </si>
  <si>
    <t>Náklady</t>
  </si>
  <si>
    <t>Výnosy</t>
  </si>
  <si>
    <t>15.1.</t>
  </si>
  <si>
    <t>ZHRNUTIE IMPLEMENTÁCIE PROJEKTU</t>
  </si>
  <si>
    <t>15.2.</t>
  </si>
  <si>
    <t>Odporúčania a získané poznatky</t>
  </si>
  <si>
    <t>Odporúčania pre správcu programu</t>
  </si>
  <si>
    <t>Otázka (známkujte ako v škole)</t>
  </si>
  <si>
    <t>Známka</t>
  </si>
  <si>
    <t>Komunikácia s pracovníkmi správcu programu</t>
  </si>
  <si>
    <t>15.3.</t>
  </si>
  <si>
    <t>Administratívna náročnosť implementácie projektu</t>
  </si>
  <si>
    <t>Nastavenie finančných tokov od správcu programu k prijímateľovi</t>
  </si>
  <si>
    <t xml:space="preserve">Systém partnerstva používaný v týchto grantoch. </t>
  </si>
  <si>
    <t>Celková spokojnosť s prácou správcu programu</t>
  </si>
  <si>
    <t>15.3.3.</t>
  </si>
  <si>
    <t>15.3.4.</t>
  </si>
  <si>
    <t>15.3.5.</t>
  </si>
  <si>
    <t>15.3.2.</t>
  </si>
  <si>
    <t>15.3.1.</t>
  </si>
  <si>
    <t>12.1.1.</t>
  </si>
  <si>
    <t>12.1.2.</t>
  </si>
  <si>
    <t>12.1.3.</t>
  </si>
  <si>
    <t>12.1.4.</t>
  </si>
  <si>
    <t>12.1.5.</t>
  </si>
  <si>
    <t>Čestne vyhlasujem, že žiadateľ a partneri:</t>
  </si>
  <si>
    <t>- majú vysporiadané finančné vzťahy so štátnym rozpočtom;</t>
  </si>
  <si>
    <t>- nemajú daňové nedoplatky;</t>
  </si>
  <si>
    <t>- nemajú nedoplatky poistného na zdravotné poistenie, sociálne poistenie a príspevkov na starobné dôchodkové sporenie;</t>
  </si>
  <si>
    <t>- neporušili zákaz nelegálnej práce a nelegálneho zamestnávania podľa osobitného predpisu za obdobie od jeho účinnosti (1. apríl 2005) a v prípade porušenia nelegálneho zamestnávania cudzinca podľa § 2 ods. 2 písm. c) zákona č. 82/2005 Z. z. o nelegálnej práci a nelegálnom zamestnávaní a o zmene a doplnení niektorých zákonov za obdobie piatich rokov od porušenia tohto zákazu</t>
  </si>
  <si>
    <t>Podpis štatutárneho zástupcu</t>
  </si>
  <si>
    <t>Podpisy ďalších štatutárnych zástupcov, ak je to potrebné</t>
  </si>
  <si>
    <t>Meno</t>
  </si>
  <si>
    <t>Podpis (a pečiatka, ak je to relevantné)</t>
  </si>
  <si>
    <t>deň</t>
  </si>
  <si>
    <t>mesiac</t>
  </si>
  <si>
    <t>rok</t>
  </si>
  <si>
    <t>Dátum</t>
  </si>
  <si>
    <t>Téma</t>
  </si>
  <si>
    <t>Indikátory publicity</t>
  </si>
  <si>
    <t>Zoznam účtovných dokladov</t>
  </si>
  <si>
    <t>Priložiť k</t>
  </si>
  <si>
    <t>PSP</t>
  </si>
  <si>
    <t>VSP</t>
  </si>
  <si>
    <t>ZSP</t>
  </si>
  <si>
    <t>Spôsob zaslania</t>
  </si>
  <si>
    <t>e-mailom</t>
  </si>
  <si>
    <t>poštou a e-mailom</t>
  </si>
  <si>
    <t>poštou</t>
  </si>
  <si>
    <t>Výpisy z bankového účtu za všetky mesiace daného reportovacieho obdobia, ak ešte neboli predložené</t>
  </si>
  <si>
    <t>Príslušné strany z hlavnej knihy o zaúčtovaní výdavkov uvedených v zozname účtovných dokladov</t>
  </si>
  <si>
    <t>Pracovné výkazy zamestnancov, ktorí sa na projekte nepodieľajú 100% zo svojho úväzku</t>
  </si>
  <si>
    <t>Odpočet stavených prác zrealizovaných z výkazu výmer vo formáte xls alebo xlsx</t>
  </si>
  <si>
    <t>Účtovné doklady a podporná dokumentácia k výdavkom presahujúcim 5 000 eur</t>
  </si>
  <si>
    <t>Kópie všetkých zmlúv a dohôd, ktoré nie sú výsledkom verejného obstarávania, ak ešte neboli predložené.</t>
  </si>
  <si>
    <t>Názov prijímateľa</t>
  </si>
  <si>
    <t>Názov projektu</t>
  </si>
  <si>
    <t>Číslo projektu</t>
  </si>
  <si>
    <t>Poradové číslo PSP</t>
  </si>
  <si>
    <t>P.č.</t>
  </si>
  <si>
    <t>Obdobie</t>
  </si>
  <si>
    <t>1.</t>
  </si>
  <si>
    <t>2.</t>
  </si>
  <si>
    <t>Druh dokladu</t>
  </si>
  <si>
    <t>Rozpočtová položka</t>
  </si>
  <si>
    <t>Rozpočtová kapitola</t>
  </si>
  <si>
    <t>Dátum dodania</t>
  </si>
  <si>
    <t>Dátum úhrady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</si>
  <si>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</si>
  <si>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</si>
  <si>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</si>
  <si>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</si>
  <si>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</si>
  <si>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</si>
  <si>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</si>
  <si>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</si>
  <si>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</si>
  <si>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</si>
  <si>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</si>
  <si>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</si>
  <si>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</si>
  <si>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</si>
  <si>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</si>
  <si>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</si>
  <si>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</si>
  <si>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</si>
  <si>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ZOZNAM ÚČTOVNÝCH DOKLADOV</t>
  </si>
  <si>
    <t>SPOLU</t>
  </si>
  <si>
    <t>Súčasný stav</t>
  </si>
  <si>
    <t>13.1.2.</t>
  </si>
  <si>
    <t>13.1.3.</t>
  </si>
  <si>
    <t>13.1.4.</t>
  </si>
  <si>
    <t>13.1.5.</t>
  </si>
  <si>
    <t>13.1.6.</t>
  </si>
  <si>
    <t>13.1.7.</t>
  </si>
  <si>
    <t>13.1.8.</t>
  </si>
  <si>
    <t>13.1.9.</t>
  </si>
  <si>
    <t>13.1.10.</t>
  </si>
  <si>
    <t>13.1.11.</t>
  </si>
  <si>
    <t>13.1.12.</t>
  </si>
  <si>
    <t>13.1.13.</t>
  </si>
  <si>
    <t>13.1.14.</t>
  </si>
  <si>
    <t>13.1.15.</t>
  </si>
  <si>
    <t>13.1.16.</t>
  </si>
  <si>
    <t>13.1.17.</t>
  </si>
  <si>
    <t>13.1.18.</t>
  </si>
  <si>
    <t>13.1.19.</t>
  </si>
  <si>
    <t>13.1.20.</t>
  </si>
  <si>
    <t>Realizuje</t>
  </si>
  <si>
    <t>od</t>
  </si>
  <si>
    <t>do</t>
  </si>
  <si>
    <t>Účet MD</t>
  </si>
  <si>
    <t>Účet Dal</t>
  </si>
  <si>
    <t>Vypracoval:</t>
  </si>
  <si>
    <t>Podpis</t>
  </si>
  <si>
    <t>Pracovná pozícia</t>
  </si>
  <si>
    <t>Schválil:</t>
  </si>
  <si>
    <t>PRIEBEŽNÁ SPRÁVA O PROJEKTE</t>
  </si>
  <si>
    <t>Názov prijímateľa:</t>
  </si>
  <si>
    <t>Názov projektu:</t>
  </si>
  <si>
    <t>Číslo projektu:</t>
  </si>
  <si>
    <t>Poradové číslo PSP:</t>
  </si>
  <si>
    <t>Reportovacie obdobie</t>
  </si>
  <si>
    <t>Komponent</t>
  </si>
  <si>
    <t>Kód výzvy</t>
  </si>
  <si>
    <t>Prijímateľ</t>
  </si>
  <si>
    <t>Partner1</t>
  </si>
  <si>
    <t>Partner2</t>
  </si>
  <si>
    <t>Partner3</t>
  </si>
  <si>
    <t>Partner4</t>
  </si>
  <si>
    <t>1.1.</t>
  </si>
  <si>
    <t>1.2.</t>
  </si>
  <si>
    <t>1.3.</t>
  </si>
  <si>
    <t>1.4.</t>
  </si>
  <si>
    <t>Prvá mimoriadna platba</t>
  </si>
  <si>
    <t>Druhá mimoriadna platba</t>
  </si>
  <si>
    <t>Tretia mimoriadna platba</t>
  </si>
  <si>
    <t>Štvrtá mimoriadna platba</t>
  </si>
  <si>
    <t>2.1.</t>
  </si>
  <si>
    <t>2.1.1.</t>
  </si>
  <si>
    <t>2.1.2.</t>
  </si>
  <si>
    <t>2.1.3.</t>
  </si>
  <si>
    <t>2.1.4.</t>
  </si>
  <si>
    <t>2.1.5.</t>
  </si>
  <si>
    <t>2.1.6.</t>
  </si>
  <si>
    <t>2.1.7.</t>
  </si>
  <si>
    <t>2.1.8.</t>
  </si>
  <si>
    <t>2.1.9.</t>
  </si>
  <si>
    <t>2.1.10.</t>
  </si>
  <si>
    <t>3.1.</t>
  </si>
  <si>
    <t>3.1.1.</t>
  </si>
  <si>
    <t>3.1.2.</t>
  </si>
  <si>
    <t>3.1.3.</t>
  </si>
  <si>
    <t>3.1.4.</t>
  </si>
  <si>
    <t>3.1.5.</t>
  </si>
  <si>
    <t>3.1.6.</t>
  </si>
  <si>
    <t>3.1.7.</t>
  </si>
  <si>
    <t>3.1.8.</t>
  </si>
  <si>
    <t>3.1.9.</t>
  </si>
  <si>
    <t>3.1.10.</t>
  </si>
  <si>
    <t>3.2.</t>
  </si>
  <si>
    <t>3.2.1.</t>
  </si>
  <si>
    <t>3.2.2.</t>
  </si>
  <si>
    <t>3.2.3.</t>
  </si>
  <si>
    <t>3.2.4.</t>
  </si>
  <si>
    <t>3.2.5.</t>
  </si>
  <si>
    <t>3.2.6.</t>
  </si>
  <si>
    <t>3.2.7.</t>
  </si>
  <si>
    <t>3.2.8.</t>
  </si>
  <si>
    <t>3.2.9.</t>
  </si>
  <si>
    <t>Odpoveď</t>
  </si>
  <si>
    <t>Poklesli v uplynulom období významným spôsobom tržby alebo nastali iné skutočnosti, ktoré by ohrozovali likviditu prijímateľa alebo partnerov, vrátane legislatívnych zmien?</t>
  </si>
  <si>
    <t>Bola zložená zábezpeka tak, ako to požaduje projektová zmluva?</t>
  </si>
  <si>
    <t>Boli zaznamenané negatívne ohlasy zo strany verejnosti?</t>
  </si>
  <si>
    <t>Ak projekt generuje stavebný odpad, je s týmto odpadom nakladané environmentálne vhodným spôsobom?</t>
  </si>
  <si>
    <t>Poklesol v uplynulom období výrazne počet zamestnancov prijímateľa alebo partnerov?</t>
  </si>
  <si>
    <t>Názov</t>
  </si>
  <si>
    <t>Inventarizačné číslo</t>
  </si>
  <si>
    <t>Číslo faktúry</t>
  </si>
  <si>
    <t>Zdroj financovania</t>
  </si>
  <si>
    <t>ČASŤ I - FINANČNÉ ZHRNUTIE PROJEKTU</t>
  </si>
  <si>
    <t>Záložné zmluvy alebo iné dokumenty preukazujúce zriadenie zábezpeky v prospech správcu programu</t>
  </si>
  <si>
    <t>Fotodokumentácia z realizácie aktivít projektu</t>
  </si>
  <si>
    <t>Akékoľvek výstupy z realizácie projektu, najmä, nie však výlučne brožúry, letáky, metodologické dokumenty a pod.</t>
  </si>
  <si>
    <t>ZOZNAM POVINNÝCH PRÍLOH</t>
  </si>
  <si>
    <t>Som si vedomý, že pri porušení čestného vyhlásenia alebo čestných vyhlásení  Úrad vlády Slovenskej republiky je oprávnený požadovať vrátenie celej sumy poskytnutého grantu.</t>
  </si>
  <si>
    <t xml:space="preserve">Zároveň čestne vyhlasujem, že všetky dosiahnuté výsledky projektu sú a budú prístupné verejnosti počas celej doby platnosti projektovej zmluvy a za podmienok uvedených v projektovej zmluve. V tejto súvislosti čestne vyhlasujem, že preberám zodpovednosť za vysporiadanie všetkých nárokov súvisiacich s týmito výsledkami tak, aby ich zverejnenie nebolo možné považovať za porušenie príslušnej legislatívy, napr. autorského zákona, obchodného zákonníka a zákona o ochrane osobných údajov. Akékoľvek nároky, ktoré by si tretie subjekty mohli uplatniť vo vzťahu k Úradu vlády SR, súvisiace so zverejnením týchto výsledkov, bude znášať moja organizácia. </t>
  </si>
  <si>
    <t xml:space="preserve">Čestné vyhlasujem, že žiadateľovi ani žiadnemu z partnerov nebol poskytnutý finančný príspevok z iných verejných zdrojov, ktorý by mohol spôsobiť prekrývanie sa výdavkov alebo duplicitu financovania. </t>
  </si>
  <si>
    <t>4.15.</t>
  </si>
  <si>
    <t>Obdobie realizácie</t>
  </si>
  <si>
    <t>Zoznam spoločných osôb, tovarov, služieb a prác, pomerne hradených z grantov EHP alebo Nórskych grantov a tohto projektu</t>
  </si>
  <si>
    <t>11.1.</t>
  </si>
  <si>
    <t>11.2.</t>
  </si>
  <si>
    <t>11.3.</t>
  </si>
  <si>
    <t>11.4.</t>
  </si>
  <si>
    <t>11.5.</t>
  </si>
  <si>
    <t>11.6.</t>
  </si>
  <si>
    <t>11.7.</t>
  </si>
  <si>
    <t>11.8.</t>
  </si>
  <si>
    <t>11.9.</t>
  </si>
  <si>
    <t>11.10.</t>
  </si>
  <si>
    <t>13.1.</t>
  </si>
  <si>
    <t>13.1.1.</t>
  </si>
  <si>
    <t>3.2.10.</t>
  </si>
  <si>
    <t>4.1.</t>
  </si>
  <si>
    <t>4.2.</t>
  </si>
  <si>
    <t>4.3.</t>
  </si>
  <si>
    <t>4.4.</t>
  </si>
  <si>
    <t>4.5.</t>
  </si>
  <si>
    <t>4.6.</t>
  </si>
  <si>
    <t>3.3.</t>
  </si>
  <si>
    <t>áno</t>
  </si>
  <si>
    <t>Je PSP zároveň výročnou správou?</t>
  </si>
  <si>
    <t>Je PSP zároveň záverečnou správou?</t>
  </si>
  <si>
    <t>nie</t>
  </si>
  <si>
    <t>4.9.</t>
  </si>
  <si>
    <t>4.10.</t>
  </si>
  <si>
    <t>z toho</t>
  </si>
  <si>
    <t>Štátny rozpočet SR</t>
  </si>
  <si>
    <t>Záverečná platba</t>
  </si>
  <si>
    <t>Percentuálne limity platieb</t>
  </si>
  <si>
    <t>4.13.</t>
  </si>
  <si>
    <t>Počiatočná hodnota</t>
  </si>
  <si>
    <t>Cieľová hodnota</t>
  </si>
  <si>
    <t>Aktuálna hodnota</t>
  </si>
  <si>
    <t>Poznámky</t>
  </si>
  <si>
    <t>6.1.</t>
  </si>
  <si>
    <t>6.1.2.</t>
  </si>
  <si>
    <t>6.1.3.</t>
  </si>
  <si>
    <t>6.1.4.</t>
  </si>
  <si>
    <t>6.1.5.</t>
  </si>
  <si>
    <t>6.1.6.</t>
  </si>
  <si>
    <t>6.1.1.</t>
  </si>
  <si>
    <t>6.2.</t>
  </si>
  <si>
    <t>6.2.1.</t>
  </si>
  <si>
    <t>6.3.</t>
  </si>
  <si>
    <t>6.3.1.</t>
  </si>
  <si>
    <t>6.4.</t>
  </si>
  <si>
    <t>6.4.1.</t>
  </si>
  <si>
    <t>5.1.</t>
  </si>
  <si>
    <t>5.2.</t>
  </si>
  <si>
    <t>5.2.1.</t>
  </si>
  <si>
    <t>5.2.4.</t>
  </si>
  <si>
    <t>Finančný mechanizmus</t>
  </si>
  <si>
    <t>Poskytnuté platby spolu</t>
  </si>
  <si>
    <t>Vratky projektového grantu</t>
  </si>
  <si>
    <t>2.2.</t>
  </si>
  <si>
    <t>2.2.1.</t>
  </si>
  <si>
    <t>2.2.2.</t>
  </si>
  <si>
    <t>2.2.3.</t>
  </si>
  <si>
    <t>2.2.4.</t>
  </si>
  <si>
    <t>2.2.5.</t>
  </si>
  <si>
    <t>2.2.6.</t>
  </si>
  <si>
    <t>2.2.7.</t>
  </si>
  <si>
    <t>2.2.8.</t>
  </si>
  <si>
    <t>2.2.9.</t>
  </si>
  <si>
    <t>2.2.10.</t>
  </si>
  <si>
    <t>2.3.</t>
  </si>
  <si>
    <t>Čisté platby</t>
  </si>
  <si>
    <t>Čestné vyhlásenia a podpis</t>
  </si>
  <si>
    <t xml:space="preserve">Čestne vyhlasujem, že som náležite oprávnený podpísať túto správu a že som dôkladne overil všetky vyhlásenia a informácie uvedené v tejto správe a tieto sú správne a presné. Čestne vyhlasujem, že projekt je realizovaný tak, ako je to opísané v tejto správe.
Čestne vyhlasujem, že Úrad vlády Slovenskej republiky a Úrad pre finančný mechanizmus môžu túto správu a všetky dôležité informácie uvedené v tejto správe podľa vlastného uváženia zverejniť a voľne a nimi nakladať. 
Svojim podpisom zároveň žiadam o platbu v súlade s podmienkami projektovej zmluvy tak, ako je to uvedené v tejto správe. </t>
  </si>
  <si>
    <t>Čestne vyhlasujem, že všetky údaje uvedené v prílohách tejto správy zasielaných e-mailom alebo poštou správcovi programu som dôkladne overil a že tieto sú správne a presné.</t>
  </si>
  <si>
    <t>Podiel platieb (4.2.) na aktuálnom projektovom grante (1.4.)  - v %</t>
  </si>
  <si>
    <t>Jednotka</t>
  </si>
  <si>
    <t>VSPXYZ</t>
  </si>
  <si>
    <t>ZSPXYZ</t>
  </si>
  <si>
    <t>PSP1</t>
  </si>
  <si>
    <t>PSP2</t>
  </si>
  <si>
    <t>PSP3</t>
  </si>
  <si>
    <t>PSP4</t>
  </si>
  <si>
    <t>PSP6</t>
  </si>
  <si>
    <t>PSP7</t>
  </si>
  <si>
    <t>PSP8</t>
  </si>
  <si>
    <t>PSP9</t>
  </si>
  <si>
    <t>PSP10</t>
  </si>
  <si>
    <t>PSP5</t>
  </si>
  <si>
    <t>5.2.2.</t>
  </si>
  <si>
    <t>2.1.11.</t>
  </si>
  <si>
    <t>Vratka1</t>
  </si>
  <si>
    <t>Vratka2</t>
  </si>
  <si>
    <t>Vratka3</t>
  </si>
  <si>
    <t>Vratka4</t>
  </si>
  <si>
    <t>Vratka5</t>
  </si>
  <si>
    <t>Vratka6</t>
  </si>
  <si>
    <t>Vratka7</t>
  </si>
  <si>
    <t>Vratka8</t>
  </si>
  <si>
    <t>Vratka9</t>
  </si>
  <si>
    <t>Vratka10</t>
  </si>
  <si>
    <t>Uhradené dňa</t>
  </si>
  <si>
    <t>Percento zúčtovania projektového grantu, vrátane tejto PSP (5.2.7/5.2.4.)</t>
  </si>
  <si>
    <t>Vyplatený projektový grant, vrátane tejto platby (2.3.+5.2.1.+5.2.3.)</t>
  </si>
  <si>
    <t>Mesiac</t>
  </si>
  <si>
    <t>1.5.</t>
  </si>
  <si>
    <t>Rozpis dobrovoľníckej práce</t>
  </si>
  <si>
    <t>Meno dobrovoľníka</t>
  </si>
  <si>
    <t>Číslo zmluvy</t>
  </si>
  <si>
    <t>Počet hodín</t>
  </si>
  <si>
    <t>Sadzba</t>
  </si>
  <si>
    <t>Popis vykonávanej činnosti</t>
  </si>
  <si>
    <t>Dobrovoľník pracuje pre</t>
  </si>
  <si>
    <t>5.2.9.</t>
  </si>
  <si>
    <t>3.4.</t>
  </si>
  <si>
    <t>3.5.</t>
  </si>
  <si>
    <t>Účel výdavku</t>
  </si>
  <si>
    <t>Celkový zúčtovaný projektový grant, vrátane tejto PSP (3.4. + 5.2.6.)</t>
  </si>
  <si>
    <t>Príloha priložená</t>
  </si>
  <si>
    <t>Aktivita projektu č.1</t>
  </si>
  <si>
    <t>Aktivita projektu č.2</t>
  </si>
  <si>
    <t>Aktivita projektu č.3</t>
  </si>
  <si>
    <t>Aktivita projektu č.4</t>
  </si>
  <si>
    <t>Aktivita projektu č.5</t>
  </si>
  <si>
    <t>Aktivita projektu č.6</t>
  </si>
  <si>
    <t>Aktivita projektu č.7</t>
  </si>
  <si>
    <t>Aktivita projektu č.8</t>
  </si>
  <si>
    <t>Výstup programu</t>
  </si>
  <si>
    <t>Priame výdavky (EUR)</t>
  </si>
  <si>
    <t>Nepriame náklady (EUR)</t>
  </si>
  <si>
    <t>Spôsob výpočtu nepriamych nákladov</t>
  </si>
  <si>
    <t>Rezerva (EUR)</t>
  </si>
  <si>
    <t>Príspevok v naturáliách (EUR)</t>
  </si>
  <si>
    <t>Spolufinancovanie v peňažnej forme (EUR)</t>
  </si>
  <si>
    <t>Celkové oprávnené peňažné výdavky (EUR)</t>
  </si>
  <si>
    <t>Celkové oprávnené výdavky(EUR)</t>
  </si>
  <si>
    <t>1.6.</t>
  </si>
  <si>
    <t>1.8.</t>
  </si>
  <si>
    <t>1.9.</t>
  </si>
  <si>
    <t>1.10.</t>
  </si>
  <si>
    <t>Názov indikátora</t>
  </si>
  <si>
    <t>Typ</t>
  </si>
  <si>
    <t>Úroveň</t>
  </si>
  <si>
    <t>Opíšte spôsob merania indikátora</t>
  </si>
  <si>
    <t>Kód</t>
  </si>
  <si>
    <t>Počet hlavných informačných aktivít</t>
  </si>
  <si>
    <t>PBL_IND1</t>
  </si>
  <si>
    <t>Počet mediálnych výstupov (reportáže, články v miestnych, regionálnych alebo národných médiách)</t>
  </si>
  <si>
    <t>PBL_IND2</t>
  </si>
  <si>
    <t>Zvýšený počet návštev webového sídla</t>
  </si>
  <si>
    <t>PBL_IND3</t>
  </si>
  <si>
    <t>Počet propagačných materiálov vytvorených  v rámci projektu</t>
  </si>
  <si>
    <t>PBL_IND4</t>
  </si>
  <si>
    <t>Počet nových správ/štúdií/oznámení zverejnených na vlastnej webovej stránke</t>
  </si>
  <si>
    <t>PBL_IND5</t>
  </si>
  <si>
    <t>Počet materiálov sumarizujúcich výsledky projektu</t>
  </si>
  <si>
    <t>PBL_IND6</t>
  </si>
  <si>
    <t>Počet vytvorených audio-vizuálnych diel</t>
  </si>
  <si>
    <t>PBL_IND7</t>
  </si>
  <si>
    <t>ČASŤ VI - INDIKÁTORY PROJEKTU</t>
  </si>
  <si>
    <t>Štandardné indikátory</t>
  </si>
  <si>
    <t>Bilaterálne indikátory</t>
  </si>
  <si>
    <t>6.2.2.</t>
  </si>
  <si>
    <t>6.2.3.</t>
  </si>
  <si>
    <t>6.2.4.</t>
  </si>
  <si>
    <t>6.2.5.</t>
  </si>
  <si>
    <t>6.2.6.</t>
  </si>
  <si>
    <t>6.2.7.</t>
  </si>
  <si>
    <t>6.2.8.</t>
  </si>
  <si>
    <t>Množstvo</t>
  </si>
  <si>
    <t>Náklady na jednotku</t>
  </si>
  <si>
    <t>Celková suma</t>
  </si>
  <si>
    <t>Typ výdavku</t>
  </si>
  <si>
    <t>Aktivita</t>
  </si>
  <si>
    <t>Číslo  dokladu</t>
  </si>
  <si>
    <t>Celkovo:</t>
  </si>
  <si>
    <t>#</t>
  </si>
  <si>
    <t>Aktuálna PSP</t>
  </si>
  <si>
    <t>%</t>
  </si>
  <si>
    <t>Posledná vyplatená platba:</t>
  </si>
  <si>
    <t>Názov programu</t>
  </si>
  <si>
    <t>Zálohová platba</t>
  </si>
  <si>
    <t>Prvá priebežná platba</t>
  </si>
  <si>
    <t>Druhá priebežná platba</t>
  </si>
  <si>
    <t>Tretia priebežná platba</t>
  </si>
  <si>
    <t>Štvrtá priebežná platba</t>
  </si>
  <si>
    <t>Piata priebežná platba</t>
  </si>
  <si>
    <t>6.3.2.</t>
  </si>
  <si>
    <t>6.3.3.</t>
  </si>
  <si>
    <t>6.3.4.</t>
  </si>
  <si>
    <t>6.3.5.</t>
  </si>
  <si>
    <t>6.3.6.</t>
  </si>
  <si>
    <t>6.3.7.</t>
  </si>
  <si>
    <t>Špecifické indikátory projektu</t>
  </si>
  <si>
    <t>6.4.2.</t>
  </si>
  <si>
    <t>6.4.3.</t>
  </si>
  <si>
    <t>6.4.4.</t>
  </si>
  <si>
    <t>6.4.5.</t>
  </si>
  <si>
    <t>6.4.6.</t>
  </si>
  <si>
    <t>6.4.7.</t>
  </si>
  <si>
    <t>Pracovná pozícia:</t>
  </si>
  <si>
    <t>Dátum:</t>
  </si>
  <si>
    <t>Typy výdavku</t>
  </si>
  <si>
    <t>Náklady na zamestnancov pridelených na projekt</t>
  </si>
  <si>
    <t>Cestovné a diéty pre zamestnancov</t>
  </si>
  <si>
    <t>Náklady na nové a použité vybavenie</t>
  </si>
  <si>
    <t>Pozemky a nehnuteľnosti</t>
  </si>
  <si>
    <t>Materiál a zásoby</t>
  </si>
  <si>
    <t>Náklady vyplývajúce z iných zmlúv</t>
  </si>
  <si>
    <t>Náklady vyplývajúce z projektovej zmluvy</t>
  </si>
  <si>
    <t>Kategória</t>
  </si>
  <si>
    <t>Názov rozsahu</t>
  </si>
  <si>
    <t>types_of_expenditure</t>
  </si>
  <si>
    <t>Rozpočtové kapitoly</t>
  </si>
  <si>
    <t>Investičné náklady - infraštruktúra</t>
  </si>
  <si>
    <t>Investičné náklady - vybavenie</t>
  </si>
  <si>
    <t>Investičné náklady - iný majetok</t>
  </si>
  <si>
    <t>Bežné výdavky - na zamestnancov</t>
  </si>
  <si>
    <t>Bežné výdavky - povinná publicita</t>
  </si>
  <si>
    <t>Bežné výdavky - propagácia a diseminácia</t>
  </si>
  <si>
    <t>Bežné výdavky - nákup materiálu</t>
  </si>
  <si>
    <t>Bežné výdavky - cestovné</t>
  </si>
  <si>
    <t>Bežné výdavky - kancelárske zariadenie</t>
  </si>
  <si>
    <t>Bežné výdavky - prevádzkové náklady</t>
  </si>
  <si>
    <t>Bežné výdavky - odpisy</t>
  </si>
  <si>
    <t>Bežné výdavky - ostatné</t>
  </si>
  <si>
    <t>budget_headings</t>
  </si>
  <si>
    <t>Subjekty</t>
  </si>
  <si>
    <t>entities</t>
  </si>
  <si>
    <t>Aktivity</t>
  </si>
  <si>
    <t>activities</t>
  </si>
  <si>
    <t>Nárokovaná suma</t>
  </si>
  <si>
    <t>Zúčtované priame výdavky spolu</t>
  </si>
  <si>
    <t>Čerpanie</t>
  </si>
  <si>
    <t>Plán Prijímateľ</t>
  </si>
  <si>
    <t>Plán Partner1</t>
  </si>
  <si>
    <t>Plán Partner2</t>
  </si>
  <si>
    <t>Plán Partner3</t>
  </si>
  <si>
    <t>Plán Partner4</t>
  </si>
  <si>
    <t>Plán Spolu</t>
  </si>
  <si>
    <t>Skutočnosť Prijímateľ</t>
  </si>
  <si>
    <t>Skutočnosť Partner1</t>
  </si>
  <si>
    <t>Skutočnosť Partner2</t>
  </si>
  <si>
    <t>Skutočnosť Partner3</t>
  </si>
  <si>
    <t>Skutočnosť Partner4</t>
  </si>
  <si>
    <t>Skutočnosť Spolu</t>
  </si>
  <si>
    <t>Aktuálna PSP Prijímateľ</t>
  </si>
  <si>
    <t>Aktuálna PSP Partner1</t>
  </si>
  <si>
    <t>Aktuálna PSP Partner2</t>
  </si>
  <si>
    <t>Aktuálna PSP Partner3</t>
  </si>
  <si>
    <t>Aktuálna PSP Partner4</t>
  </si>
  <si>
    <t>Aktuálna PSP Spolu</t>
  </si>
  <si>
    <t>Zostatok Prijímateľ</t>
  </si>
  <si>
    <t>Zostatok Partner1</t>
  </si>
  <si>
    <t>Zostatok Partner2</t>
  </si>
  <si>
    <t>Zostatok Partner3</t>
  </si>
  <si>
    <t>Zostatok Partner4</t>
  </si>
  <si>
    <t>Zostatok Spolu</t>
  </si>
  <si>
    <t>Zostatok v %</t>
  </si>
  <si>
    <t>3.1.11.</t>
  </si>
  <si>
    <t>3.1.12.</t>
  </si>
  <si>
    <t>PSP11</t>
  </si>
  <si>
    <t>PSP12</t>
  </si>
  <si>
    <t>Zúčtovaná rezerva spolu</t>
  </si>
  <si>
    <t>3.3.1.</t>
  </si>
  <si>
    <t>3.3.2.</t>
  </si>
  <si>
    <t>3.3.3.</t>
  </si>
  <si>
    <t>3.3.4.</t>
  </si>
  <si>
    <t>3.3.5.</t>
  </si>
  <si>
    <t>3.3.6.</t>
  </si>
  <si>
    <t>3.3.7.</t>
  </si>
  <si>
    <t>3.3.8.</t>
  </si>
  <si>
    <t>3.3.9.</t>
  </si>
  <si>
    <t>3.3.10.</t>
  </si>
  <si>
    <t>3.2.11.</t>
  </si>
  <si>
    <t>3.2.12.</t>
  </si>
  <si>
    <t>3.3.11.</t>
  </si>
  <si>
    <t>3.3.12.</t>
  </si>
  <si>
    <t>Príspevok v naturáliách spolu</t>
  </si>
  <si>
    <t>3.4.1.</t>
  </si>
  <si>
    <t>3.4.2.</t>
  </si>
  <si>
    <t>3.4.3.</t>
  </si>
  <si>
    <t>3.4.4.</t>
  </si>
  <si>
    <t>3.4.5.</t>
  </si>
  <si>
    <t>3.4.6.</t>
  </si>
  <si>
    <t>3.4.7.</t>
  </si>
  <si>
    <t>3.4.8.</t>
  </si>
  <si>
    <t>3.4.9.</t>
  </si>
  <si>
    <t>3.4.10.</t>
  </si>
  <si>
    <t>3.4.11.</t>
  </si>
  <si>
    <t>3.4.12.</t>
  </si>
  <si>
    <t>ČASŤ III - SKUTOČNE VYNALOŽENÉ OPRÁVNENÉ VÝDAVKY</t>
  </si>
  <si>
    <t>ČASŤ II - POSKYTNUTÉ PLATBY PROJEKTOVÉHO GRANTU</t>
  </si>
  <si>
    <t>Čisté skutočne vynaložené oprávnené výdavky</t>
  </si>
  <si>
    <t>3.6.</t>
  </si>
  <si>
    <t>Oprávnené výdavky projektového grantu</t>
  </si>
  <si>
    <t>Ex-post identifikované neoprávnené výdavky</t>
  </si>
  <si>
    <t>3.5.1.</t>
  </si>
  <si>
    <t>3.5.2.</t>
  </si>
  <si>
    <t>3.5.3.</t>
  </si>
  <si>
    <t>3.5.4.</t>
  </si>
  <si>
    <t>3.5.5.</t>
  </si>
  <si>
    <t>3.5.6.</t>
  </si>
  <si>
    <t>3.5.7.</t>
  </si>
  <si>
    <t>3.5.8.</t>
  </si>
  <si>
    <t>3.5.9.</t>
  </si>
  <si>
    <t>3.5.10.</t>
  </si>
  <si>
    <t>3.5.11.</t>
  </si>
  <si>
    <t>3.5.12.</t>
  </si>
  <si>
    <t>3.7.</t>
  </si>
  <si>
    <t>Miera projektového grantu</t>
  </si>
  <si>
    <t>ČASŤ IV - DEKLAROVANÉ VÝDAVKY V TEJTO PSP</t>
  </si>
  <si>
    <t>Deklarované priame výdavky</t>
  </si>
  <si>
    <t>Deklarované výdavky z rezervy</t>
  </si>
  <si>
    <t>PP2</t>
  </si>
  <si>
    <t>ZP</t>
  </si>
  <si>
    <t>PP1</t>
  </si>
  <si>
    <t>PP3</t>
  </si>
  <si>
    <t>PP4</t>
  </si>
  <si>
    <t>PP5</t>
  </si>
  <si>
    <t>PP6</t>
  </si>
  <si>
    <t>Maximálna výška ďalšej platby (EUR)</t>
  </si>
  <si>
    <t>Limit zádržného (%)</t>
  </si>
  <si>
    <t>Limit zádržného (EUR)</t>
  </si>
  <si>
    <t>Prehľad platieb</t>
  </si>
  <si>
    <t>Miera zúčtovania poskytnutého projektového grantu v % ((3.7. + 4.5.) / 2.3.)</t>
  </si>
  <si>
    <t>Projektový grant (EUR)</t>
  </si>
  <si>
    <t>Suma uplatniteľná systémom refundácie ((3.7. + 4.5.) - 2.3.)</t>
  </si>
  <si>
    <t>Nasledujúca platba - označenie</t>
  </si>
  <si>
    <t>Priebežný systém zádržného</t>
  </si>
  <si>
    <t>Áno</t>
  </si>
  <si>
    <t>Peňažné spolufinancovanie z vlastných zdrojov</t>
  </si>
  <si>
    <t>Príspevok v naturáliách (orientačne)</t>
  </si>
  <si>
    <t>Výška ďalšej priebežnej platby (v celých eurách) (1.1.*4.12.)</t>
  </si>
  <si>
    <t xml:space="preserve">Upravený limit ďalšej priebežnej platby v prípade, ak by bol presiahnutý strop pre uplatnenie systému zádržného (ak 4.6.+4.11. &gt; 90%) </t>
  </si>
  <si>
    <t>Nárok na ďalšiu priebežnú platbu (vzniká, ak 4.4 &gt; 50% a zároveň 4.6. &lt; 90%)</t>
  </si>
  <si>
    <t>Maximálne vyplatiteľná suma ďalšej priebežnej platby (EUR)</t>
  </si>
  <si>
    <t>Zadržaná suma ďalšej priebežnej platby (EUR)</t>
  </si>
  <si>
    <t>Maximálna výška priebežnej ďalšej platby (%)</t>
  </si>
  <si>
    <t>Finančné prostriedky vyplatené systémom refundácie (ak zúčtované a deklarované výdavky presiahnu súčet doteraz poskytnutých platieb) - suma, ktorú je prijímateľ/partner oprávnený previesť z platby na vlastné účty</t>
  </si>
  <si>
    <t>Kontrolné a pomocné údaje</t>
  </si>
  <si>
    <t>Suma platieb po schválení (4.2.+4.13.+4.15.)</t>
  </si>
  <si>
    <t>Podiel platieb po schválení na PG (4.2.+4.13.+4.15.)</t>
  </si>
  <si>
    <t>Rozdelenie  platby</t>
  </si>
  <si>
    <t>Rozdelenie platby medzi prijímateľa a partnerov (v eur)</t>
  </si>
  <si>
    <t>Žiada prijímateľ o vyplatenie ďalšej plaby?</t>
  </si>
  <si>
    <t>Kúpna cena</t>
  </si>
  <si>
    <t>Vyňaté zariadenie</t>
  </si>
  <si>
    <t>exempted_equipment</t>
  </si>
  <si>
    <t>Súvisí s</t>
  </si>
  <si>
    <t>Súhlas SP zo dňa</t>
  </si>
  <si>
    <t>4.7.</t>
  </si>
  <si>
    <t>4.7.1.</t>
  </si>
  <si>
    <t>4.8.</t>
  </si>
  <si>
    <t>4.10.1.</t>
  </si>
  <si>
    <t>4.11.</t>
  </si>
  <si>
    <t>4.12..</t>
  </si>
  <si>
    <t>4.14.</t>
  </si>
  <si>
    <t>4.16.</t>
  </si>
  <si>
    <t>4.17.</t>
  </si>
  <si>
    <t>4.18.</t>
  </si>
  <si>
    <t>4.19.</t>
  </si>
  <si>
    <t>4.18.1.</t>
  </si>
  <si>
    <t>4.18.2.</t>
  </si>
  <si>
    <t>4.18.3.</t>
  </si>
  <si>
    <t>4.18.4..</t>
  </si>
  <si>
    <t>4.19.3.</t>
  </si>
  <si>
    <t>4.19.2.</t>
  </si>
  <si>
    <t>4.19.1.</t>
  </si>
  <si>
    <t>4.20.</t>
  </si>
  <si>
    <t>4.20.1.</t>
  </si>
  <si>
    <t>4.20.2.</t>
  </si>
  <si>
    <t>4.21.</t>
  </si>
  <si>
    <t>5.2.10.</t>
  </si>
  <si>
    <t xml:space="preserve"> Plánovaný termín ukončenia Projektu</t>
  </si>
  <si>
    <t>Súvisí s aktivitou</t>
  </si>
  <si>
    <t>Dôležitosť</t>
  </si>
  <si>
    <t>Plánovaný začiatok/koniec
(v mesiacoch od uzavretia projektovej zmluvy)</t>
  </si>
  <si>
    <t>Začiatok</t>
  </si>
  <si>
    <t>Koniec</t>
  </si>
  <si>
    <t>Stav</t>
  </si>
  <si>
    <t>Míľnik</t>
  </si>
  <si>
    <t>Poznámky (najmä v prípade, ak dochádza z omeškaniu)</t>
  </si>
  <si>
    <t>Dátum vydania rozhodnutia o schválení projektu</t>
  </si>
  <si>
    <t>Účinnosť zmluvy od</t>
  </si>
  <si>
    <t>Počet mesiacov od uzavretia projektovej zmluvy ku koncu reportovacieho obdobia</t>
  </si>
  <si>
    <t>Rizikové body</t>
  </si>
  <si>
    <t>Prebieha implementácia projektu v súlade s harmonogramom (míľnikmi) projektu?</t>
  </si>
  <si>
    <t>Sú štandardné indikátory priebežne napĺňané?</t>
  </si>
  <si>
    <t>Sú bilaterálne indikátory priebežne napĺňané?</t>
  </si>
  <si>
    <t>Riziká</t>
  </si>
  <si>
    <t>Nie</t>
  </si>
  <si>
    <t>Čiastočne</t>
  </si>
  <si>
    <t>Má projekt vytvorenú webovú stránku s a aktuálnymi údajmi o projekt v slovenskom a, ak je to relevantné, aj anglickom jazyku:</t>
  </si>
  <si>
    <t>Sú výsledky projektu priebežne zverejňované a, ak je to relevantné, k dispozícii on-line a bezodplatne pre širokú verejnosť?</t>
  </si>
  <si>
    <t>Nie je relevantné</t>
  </si>
  <si>
    <t>Boli už získané všetky potrebné povolenia, napr. stavebné povolenie, EIA, akreditácia na poskytovanie služieb?</t>
  </si>
  <si>
    <t>Kredibilita</t>
  </si>
  <si>
    <t>Výsledky</t>
  </si>
  <si>
    <t>Máte vedomosť o predchádzajúcich zlyhaniach Vašej organizácie alebo partnerov, najmä zlyhania v oblasti verejného obstarávania a porušenia právnych predpisov?</t>
  </si>
  <si>
    <t>Bude možné zrealizovať všetky aktivity a oprávnené výdavky projektu do konca obdobia oprávnenosti stanoveného v projektovej zmluve?</t>
  </si>
  <si>
    <t>Udržateľnosť a príjmy</t>
  </si>
  <si>
    <t>Vlastníctvo a povolenia</t>
  </si>
  <si>
    <t>risk_questions</t>
  </si>
  <si>
    <t>risk_answers</t>
  </si>
  <si>
    <t>risk_question_numbers</t>
  </si>
  <si>
    <t>4.21..1</t>
  </si>
  <si>
    <t>4.21.2.</t>
  </si>
  <si>
    <t>4.21.3.</t>
  </si>
  <si>
    <t>4.21.4.</t>
  </si>
  <si>
    <t>Deklarované nepriame náklady</t>
  </si>
  <si>
    <t>Indikatívna výška refundácie prostriedkov z platby na vlastné účty (v eur)</t>
  </si>
  <si>
    <t>Miera zúčtovania projektového grantu na celkových oprávnených výdavkoch v % 
((3.7. + 4.5.) / 1.8.)</t>
  </si>
  <si>
    <t>5.2.11.</t>
  </si>
  <si>
    <t>Podiel príspevku v naturáliách na celkovom spolufinancovaní (v %)</t>
  </si>
  <si>
    <t>Deklarované peňažné výdavky (4.1.+4.2.+4.3.)</t>
  </si>
  <si>
    <t>Celkové deklarované výdavky (4.4.+4.6)</t>
  </si>
  <si>
    <t>5.2.12.</t>
  </si>
  <si>
    <t>Kumulovaná výška príspevku v naturáliách (v eur) (3.4.+4.6.)</t>
  </si>
  <si>
    <t>Peňažné výdavky spolu (3.1.+3.2.+3.3.)</t>
  </si>
  <si>
    <t>3.8.</t>
  </si>
  <si>
    <t>Zúčtované nepriame náklady spolu</t>
  </si>
  <si>
    <t>Deklarovaný príspevok v naturáliách</t>
  </si>
  <si>
    <t>Neoprávnené výdavky (vypĺňa správca programu)</t>
  </si>
  <si>
    <t>Neoprávnené výdavky</t>
  </si>
  <si>
    <t xml:space="preserve">z toho </t>
  </si>
  <si>
    <t>4.5.1.</t>
  </si>
  <si>
    <t>4.5.2.</t>
  </si>
  <si>
    <t>4.5.3.</t>
  </si>
  <si>
    <t>4.5.4.</t>
  </si>
  <si>
    <t>Neoprávnené priame výdavky</t>
  </si>
  <si>
    <t>Neoprávnené nepriame náklady</t>
  </si>
  <si>
    <t>Neoprávnené výdavky z rezervy</t>
  </si>
  <si>
    <t>Neoprávnený príspevok v naturáliách</t>
  </si>
  <si>
    <t>Komentár správcu programu</t>
  </si>
  <si>
    <t>Oprávnené peňažné výdavky (4.6.-4.5..1.-4.5.2.-4.5.3.)</t>
  </si>
  <si>
    <t>4,9,</t>
  </si>
  <si>
    <t>Deklarované výdavky projektového grantu (4.6*(1.8./1.9.))</t>
  </si>
  <si>
    <t>Oprávnené výdavky projektového grantu (4.7*(1.8./1.9.))</t>
  </si>
  <si>
    <t>Oprávnené výdavky (4.4.-4.5.4.+4.7.)</t>
  </si>
  <si>
    <t>podľa údajov prijímateľa</t>
  </si>
  <si>
    <t>po úprave SP</t>
  </si>
  <si>
    <t>Rozdelenie platby medzi prijímateľa a partnerov (v eur) - po úprave SP</t>
  </si>
  <si>
    <t>5.2.3.</t>
  </si>
  <si>
    <t>Indikatívna výška refundácie prostriedkov z platby na vlastné účty (v eur) - po úprave SP</t>
  </si>
  <si>
    <t>5.2.5.</t>
  </si>
  <si>
    <t>5.2.6.</t>
  </si>
  <si>
    <t>Vyplatený projektový grant, vrátane tejto platby (2.3.+5.2.1.+5.2.3.) - po úprave SP</t>
  </si>
  <si>
    <t>Percento zúčtovania projektového grantu, vrátane tejto PSP (5.2.7/5.2.4.) - po úprave SP</t>
  </si>
  <si>
    <t>Kumulovaná výška príspevku v naturáliách (v eur) (3.4.+4.6.) -  po úprave SP</t>
  </si>
  <si>
    <t>5.2.13.</t>
  </si>
  <si>
    <t>Podiel príspevku v naturáliách na celkovom spolufinancovaní (v %) -  po úprave SP</t>
  </si>
  <si>
    <t>Vratka správcovi programu (v prípade záporného záverečného zostatku)</t>
  </si>
  <si>
    <t>Rodová rovnosť</t>
  </si>
  <si>
    <t>Inklúzia a posiľňovanie postavenia Rómov</t>
  </si>
  <si>
    <t>Sociálna iklúzia iných zraniteľných skupín než Rómov</t>
  </si>
  <si>
    <t>Anitidiskriminačné opatrenia</t>
  </si>
  <si>
    <t>Transparentnosť a protikorupčné opatrenia</t>
  </si>
  <si>
    <t xml:space="preserve">Príspevok projektu k prierezovým otázkam </t>
  </si>
  <si>
    <t>Príspevok_prierezové otázky</t>
  </si>
  <si>
    <t>cross_cutting_issues_contribution</t>
  </si>
  <si>
    <t>relevantný</t>
  </si>
  <si>
    <t>zásadný</t>
  </si>
  <si>
    <t>nevzťahuje sa</t>
  </si>
  <si>
    <t>Poznámky (uviesť v prípade, ak je príspevok relevantný alebo zásadný)</t>
  </si>
  <si>
    <t>Podmienky ZP stav plnenia</t>
  </si>
  <si>
    <t>fullfilment_status</t>
  </si>
  <si>
    <t>v plnení</t>
  </si>
  <si>
    <t>splnené</t>
  </si>
  <si>
    <t>nerelevantné</t>
  </si>
  <si>
    <t>nesplnené</t>
  </si>
  <si>
    <t>čiastočne splnené</t>
  </si>
  <si>
    <t>iné - uviesť</t>
  </si>
  <si>
    <t>Súčasná hodnota</t>
  </si>
  <si>
    <t>Plánovaná hodnota</t>
  </si>
  <si>
    <t>7.1.</t>
  </si>
  <si>
    <t>7.2.</t>
  </si>
  <si>
    <t>7.3.</t>
  </si>
  <si>
    <t>7.4.</t>
  </si>
  <si>
    <t>7.5.</t>
  </si>
  <si>
    <t>7.6.</t>
  </si>
  <si>
    <t>7.7.</t>
  </si>
  <si>
    <t>7.8.</t>
  </si>
  <si>
    <t>ČASŤ VII - AKTIVITY PROJEKTU</t>
  </si>
  <si>
    <t>ČASŤ VIII - MÍĽNIKY PROJEKTU</t>
  </si>
  <si>
    <t>8.1.</t>
  </si>
  <si>
    <t>8.3.</t>
  </si>
  <si>
    <t>8.4.</t>
  </si>
  <si>
    <t>8.2.</t>
  </si>
  <si>
    <t>8.5.</t>
  </si>
  <si>
    <t>Čerpanie rezervy (ak relevantné)</t>
  </si>
  <si>
    <t>Sumarizačné hárky (ak relevantné)</t>
  </si>
  <si>
    <t>Kompletná dokumentácia z vykonaného verejného obstarávania, vrátane uzavretej zmluvy, ak ešte neboli predložené</t>
  </si>
  <si>
    <t>Čestné vyhlásenie o nakladaní s odpadom, ak relevantné</t>
  </si>
  <si>
    <t>Kolaudačné rozhodnutie - prostá kópia, ak relevantné</t>
  </si>
  <si>
    <t>Všetky relevantné právoplatné povolenia potrebné na implementáciu projektu - prosté kópie, ak relevantné</t>
  </si>
  <si>
    <t>Poistná zmluva preukazujúca poistenie majetku, ak ešte nebola predložená (ak relevantné)</t>
  </si>
  <si>
    <t>Číslo projektovej zmluvy</t>
  </si>
  <si>
    <t>Medzisúčet</t>
  </si>
  <si>
    <t>verzia</t>
  </si>
  <si>
    <t>z toho:</t>
  </si>
  <si>
    <t xml:space="preserve"> </t>
  </si>
  <si>
    <t>2.1.12.</t>
  </si>
  <si>
    <t>Šiesta priebežná platba</t>
  </si>
  <si>
    <t>Zostatok</t>
  </si>
  <si>
    <t>ČASŤ XIII - UKONČENIE PROJEKTU - ZSP</t>
  </si>
  <si>
    <t>ČASŤ XIV - UDRŽATEĽNOSŤ PROJEKTU - ZSP</t>
  </si>
  <si>
    <t>ČASŤ XV - ZÁVEREČNÉ ZHODNOTENIE IMPLEMENTÁCIE PROJEKTU</t>
  </si>
  <si>
    <t>Odkladacie podmienky záverečnej platby</t>
  </si>
  <si>
    <t>9.1.</t>
  </si>
  <si>
    <t>9.2.</t>
  </si>
  <si>
    <t>Ďalšie osobitné podmienky</t>
  </si>
  <si>
    <t>9.2.1.</t>
  </si>
  <si>
    <t>9.2.2.</t>
  </si>
  <si>
    <t>9.2.3.</t>
  </si>
  <si>
    <t>9.2.4.</t>
  </si>
  <si>
    <t>9.2.5.</t>
  </si>
  <si>
    <t>9.2.6.</t>
  </si>
  <si>
    <t>9.2.7.</t>
  </si>
  <si>
    <t>9.2.8.</t>
  </si>
  <si>
    <t>9.2.9.</t>
  </si>
  <si>
    <t>9.2.10.</t>
  </si>
  <si>
    <t>9.2.11.</t>
  </si>
  <si>
    <t>9.2.12.</t>
  </si>
  <si>
    <t>9.2.13.</t>
  </si>
  <si>
    <t>9.2.14.</t>
  </si>
  <si>
    <t>9.2.15.</t>
  </si>
  <si>
    <t>9.2.16.</t>
  </si>
  <si>
    <t>9.2.17.</t>
  </si>
  <si>
    <t>9.2.18.</t>
  </si>
  <si>
    <t>9.2.19.</t>
  </si>
  <si>
    <t>9.2.20.</t>
  </si>
  <si>
    <t>Opíšte priebeh napĺňania a spôsob merania indikátora</t>
  </si>
  <si>
    <t>8.6.</t>
  </si>
  <si>
    <t>Posledný deň oprávnenosti výdavkov</t>
  </si>
  <si>
    <t>Prvý deň oprávnenosti (deň začatia realizácie projektu)</t>
  </si>
  <si>
    <t>ČASŤ XII - PRIEREZOVÉ OTÁZKY</t>
  </si>
  <si>
    <t>ČASŤ XI - ZOZNAM OSTATNÝCH REALIZOVANÝCH PROJEKTOV PRIJÍMATEĽA A PARTNEROV</t>
  </si>
  <si>
    <t>ČASŤ X - ZOZNAM VYŇATÉHO ZARIADENIA</t>
  </si>
  <si>
    <t>ČASŤ IX - RIZIKÁ A OSOBITNÉ PODMIENKY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</si>
</sst>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\ [$€-1]"/>
    <numFmt numFmtId="165" formatCode="#,##0.00\ &quot;€&quot;"/>
    <numFmt numFmtId="166" formatCode="[$-41B]mmmm\ yy;@"/>
  </numFmts>
  <fonts count="38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7"/>
      <name val="Arial"/>
      <family val="2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sz val="6"/>
      <name val="Arial"/>
      <family val="2"/>
      <charset val="238"/>
    </font>
    <font>
      <i/>
      <sz val="8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i/>
      <sz val="9"/>
      <name val="Arial"/>
      <family val="2"/>
      <charset val="238"/>
    </font>
    <font>
      <b/>
      <sz val="6"/>
      <name val="Arial"/>
      <family val="2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sz val="10"/>
      <color theme="0"/>
      <name val="Arial"/>
      <family val="2"/>
      <charset val="238"/>
    </font>
    <font>
      <sz val="7"/>
      <name val="Calibri"/>
      <family val="2"/>
      <charset val="238"/>
    </font>
    <font>
      <sz val="6"/>
      <color theme="0"/>
      <name val="Arial"/>
      <family val="2"/>
      <charset val="238"/>
    </font>
    <font>
      <sz val="9"/>
      <color theme="0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8"/>
      <name val="Arial"/>
      <family val="2"/>
    </font>
    <font>
      <b/>
      <sz val="8"/>
      <name val="Calibri"/>
      <family val="2"/>
      <charset val="238"/>
      <scheme val="minor"/>
    </font>
    <font>
      <i/>
      <sz val="10"/>
      <name val="Arial"/>
      <family val="2"/>
      <charset val="238"/>
    </font>
    <font>
      <b/>
      <i/>
      <sz val="10"/>
      <name val="Arial"/>
      <family val="2"/>
      <charset val="238"/>
    </font>
    <font>
      <sz val="9"/>
      <color indexed="81"/>
      <name val="Tahoma"/>
      <family val="2"/>
      <charset val="238"/>
    </font>
    <font>
      <sz val="8"/>
      <name val="Arial"/>
    </font>
    <font>
      <b/>
      <sz val="8"/>
      <name val="Arial"/>
    </font>
    <font>
      <sz val="9"/>
      <color indexed="81"/>
      <name val="Tahoma"/>
      <charset val="1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70C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6">
    <xf numFmtId="0" fontId="0" fillId="0" borderId="0"/>
    <xf numFmtId="0" fontId="15" fillId="0" borderId="0"/>
    <xf numFmtId="0" fontId="16" fillId="0" borderId="0"/>
    <xf numFmtId="0" fontId="3" fillId="0" borderId="0"/>
    <xf numFmtId="0" fontId="2" fillId="0" borderId="0"/>
    <xf numFmtId="0" fontId="1" fillId="0" borderId="0"/>
  </cellStyleXfs>
  <cellXfs count="653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 applyProtection="1">
      <alignment vertical="center"/>
    </xf>
    <xf numFmtId="0" fontId="4" fillId="0" borderId="0" xfId="0" applyFont="1" applyAlignment="1">
      <alignment vertical="center" wrapText="1"/>
    </xf>
    <xf numFmtId="0" fontId="12" fillId="0" borderId="0" xfId="0" applyFont="1" applyFill="1" applyAlignment="1" applyProtection="1">
      <alignment vertical="center" wrapText="1"/>
    </xf>
    <xf numFmtId="0" fontId="12" fillId="0" borderId="0" xfId="0" applyFont="1" applyFill="1" applyAlignment="1" applyProtection="1">
      <alignment vertical="center"/>
    </xf>
    <xf numFmtId="0" fontId="0" fillId="0" borderId="0" xfId="0" applyAlignment="1">
      <alignment vertical="center"/>
    </xf>
    <xf numFmtId="0" fontId="0" fillId="0" borderId="0" xfId="0" applyProtection="1"/>
    <xf numFmtId="0" fontId="0" fillId="0" borderId="22" xfId="0" applyBorder="1" applyProtection="1"/>
    <xf numFmtId="0" fontId="12" fillId="0" borderId="23" xfId="0" applyFont="1" applyBorder="1" applyAlignment="1" applyProtection="1">
      <alignment wrapText="1"/>
    </xf>
    <xf numFmtId="0" fontId="11" fillId="0" borderId="0" xfId="0" applyFont="1" applyBorder="1" applyAlignment="1" applyProtection="1">
      <alignment horizontal="right" vertical="center" wrapText="1"/>
    </xf>
    <xf numFmtId="0" fontId="12" fillId="0" borderId="24" xfId="0" applyFont="1" applyBorder="1" applyAlignment="1" applyProtection="1">
      <alignment wrapText="1"/>
    </xf>
    <xf numFmtId="0" fontId="12" fillId="0" borderId="23" xfId="0" applyFont="1" applyBorder="1" applyProtection="1"/>
    <xf numFmtId="0" fontId="11" fillId="0" borderId="0" xfId="0" applyNumberFormat="1" applyFont="1" applyFill="1" applyBorder="1" applyAlignment="1" applyProtection="1">
      <alignment horizontal="right" vertical="center" indent="1"/>
    </xf>
    <xf numFmtId="0" fontId="11" fillId="0" borderId="0" xfId="0" applyFont="1" applyBorder="1" applyAlignment="1" applyProtection="1">
      <alignment horizontal="right" vertical="center" indent="1"/>
    </xf>
    <xf numFmtId="0" fontId="12" fillId="0" borderId="0" xfId="0" applyFont="1" applyBorder="1" applyProtection="1"/>
    <xf numFmtId="0" fontId="17" fillId="0" borderId="0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Border="1" applyAlignment="1" applyProtection="1">
      <alignment wrapText="1"/>
    </xf>
    <xf numFmtId="0" fontId="12" fillId="0" borderId="0" xfId="0" applyFont="1" applyFill="1" applyBorder="1" applyAlignment="1" applyProtection="1">
      <alignment vertical="center"/>
    </xf>
    <xf numFmtId="0" fontId="12" fillId="2" borderId="1" xfId="0" applyFont="1" applyFill="1" applyBorder="1" applyAlignment="1" applyProtection="1">
      <alignment horizontal="center" vertical="center" wrapText="1"/>
    </xf>
    <xf numFmtId="0" fontId="12" fillId="0" borderId="2" xfId="0" applyNumberFormat="1" applyFont="1" applyFill="1" applyBorder="1" applyAlignment="1" applyProtection="1">
      <alignment horizontal="right" vertical="center"/>
    </xf>
    <xf numFmtId="0" fontId="12" fillId="0" borderId="19" xfId="0" applyNumberFormat="1" applyFont="1" applyFill="1" applyBorder="1" applyAlignment="1" applyProtection="1">
      <alignment horizontal="right" vertical="center"/>
    </xf>
    <xf numFmtId="0" fontId="12" fillId="0" borderId="20" xfId="0" applyNumberFormat="1" applyFont="1" applyFill="1" applyBorder="1" applyAlignment="1" applyProtection="1">
      <alignment horizontal="right" vertical="center"/>
    </xf>
    <xf numFmtId="10" fontId="5" fillId="0" borderId="0" xfId="0" applyNumberFormat="1" applyFont="1" applyFill="1" applyBorder="1" applyAlignment="1" applyProtection="1">
      <alignment vertical="center"/>
    </xf>
    <xf numFmtId="0" fontId="8" fillId="0" borderId="0" xfId="0" applyFont="1" applyAlignment="1">
      <alignment vertical="center"/>
    </xf>
    <xf numFmtId="0" fontId="19" fillId="0" borderId="0" xfId="0" applyFont="1" applyAlignment="1" applyProtection="1">
      <alignment vertical="center"/>
    </xf>
    <xf numFmtId="0" fontId="20" fillId="0" borderId="0" xfId="0" applyFont="1" applyAlignment="1" applyProtection="1">
      <alignment vertical="center"/>
    </xf>
    <xf numFmtId="0" fontId="21" fillId="4" borderId="0" xfId="0" applyNumberFormat="1" applyFont="1" applyFill="1" applyBorder="1" applyAlignment="1" applyProtection="1">
      <alignment vertical="center"/>
    </xf>
    <xf numFmtId="0" fontId="21" fillId="4" borderId="0" xfId="0" applyFont="1" applyFill="1" applyBorder="1" applyAlignment="1" applyProtection="1">
      <alignment vertical="center"/>
    </xf>
    <xf numFmtId="0" fontId="21" fillId="4" borderId="11" xfId="0" applyFont="1" applyFill="1" applyBorder="1" applyAlignment="1" applyProtection="1">
      <alignment vertical="center"/>
    </xf>
    <xf numFmtId="0" fontId="22" fillId="0" borderId="0" xfId="0" applyFont="1" applyAlignment="1" applyProtection="1">
      <alignment vertical="center"/>
    </xf>
    <xf numFmtId="0" fontId="22" fillId="0" borderId="0" xfId="0" applyFont="1" applyAlignment="1" applyProtection="1">
      <alignment horizontal="center" vertical="center"/>
    </xf>
    <xf numFmtId="0" fontId="13" fillId="0" borderId="0" xfId="0" applyFont="1" applyFill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3" fillId="0" borderId="14" xfId="0" applyFont="1" applyBorder="1" applyAlignment="1" applyProtection="1">
      <alignment vertical="center"/>
    </xf>
    <xf numFmtId="0" fontId="12" fillId="0" borderId="12" xfId="0" applyFont="1" applyBorder="1" applyAlignment="1" applyProtection="1">
      <alignment vertical="center"/>
    </xf>
    <xf numFmtId="0" fontId="12" fillId="0" borderId="13" xfId="0" applyFont="1" applyBorder="1" applyAlignment="1" applyProtection="1">
      <alignment vertical="center"/>
    </xf>
    <xf numFmtId="0" fontId="0" fillId="0" borderId="0" xfId="0" applyBorder="1" applyProtection="1"/>
    <xf numFmtId="0" fontId="0" fillId="0" borderId="11" xfId="0" applyBorder="1" applyProtection="1"/>
    <xf numFmtId="0" fontId="13" fillId="0" borderId="15" xfId="0" applyFont="1" applyFill="1" applyBorder="1" applyAlignment="1" applyProtection="1">
      <alignment vertical="center" wrapText="1"/>
    </xf>
    <xf numFmtId="0" fontId="12" fillId="0" borderId="11" xfId="0" applyFont="1" applyFill="1" applyBorder="1" applyAlignment="1" applyProtection="1">
      <alignment vertical="center" wrapText="1"/>
    </xf>
    <xf numFmtId="0" fontId="13" fillId="0" borderId="15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1" xfId="0" applyFont="1" applyBorder="1" applyAlignment="1" applyProtection="1">
      <alignment vertical="center"/>
    </xf>
    <xf numFmtId="0" fontId="12" fillId="0" borderId="10" xfId="0" applyFont="1" applyFill="1" applyBorder="1" applyAlignment="1" applyProtection="1">
      <alignment vertical="center" wrapText="1"/>
    </xf>
    <xf numFmtId="0" fontId="12" fillId="0" borderId="0" xfId="0" applyFont="1" applyFill="1" applyBorder="1" applyAlignment="1" applyProtection="1">
      <alignment vertical="center" wrapText="1"/>
    </xf>
    <xf numFmtId="0" fontId="12" fillId="0" borderId="11" xfId="0" applyFont="1" applyFill="1" applyBorder="1" applyAlignment="1" applyProtection="1">
      <alignment vertical="center"/>
    </xf>
    <xf numFmtId="14" fontId="11" fillId="0" borderId="0" xfId="0" applyNumberFormat="1" applyFont="1" applyFill="1" applyBorder="1" applyAlignment="1" applyProtection="1">
      <alignment horizontal="center" vertical="center" wrapText="1"/>
    </xf>
    <xf numFmtId="0" fontId="12" fillId="0" borderId="10" xfId="0" applyFont="1" applyFill="1" applyBorder="1" applyAlignment="1" applyProtection="1">
      <alignment horizontal="right" vertical="center" wrapText="1"/>
    </xf>
    <xf numFmtId="0" fontId="12" fillId="0" borderId="9" xfId="0" applyFont="1" applyFill="1" applyBorder="1" applyAlignment="1" applyProtection="1">
      <alignment vertical="center" wrapText="1"/>
    </xf>
    <xf numFmtId="0" fontId="13" fillId="0" borderId="3" xfId="0" applyFont="1" applyBorder="1" applyAlignment="1" applyProtection="1">
      <alignment vertical="center"/>
    </xf>
    <xf numFmtId="0" fontId="12" fillId="0" borderId="4" xfId="0" applyFont="1" applyBorder="1" applyAlignment="1" applyProtection="1">
      <alignment vertical="center"/>
    </xf>
    <xf numFmtId="0" fontId="12" fillId="0" borderId="5" xfId="0" applyFont="1" applyBorder="1" applyAlignment="1" applyProtection="1">
      <alignment vertical="center"/>
    </xf>
    <xf numFmtId="0" fontId="6" fillId="0" borderId="1" xfId="0" applyFont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13" fillId="0" borderId="3" xfId="0" applyFont="1" applyFill="1" applyBorder="1" applyAlignment="1" applyProtection="1">
      <alignment vertical="center"/>
    </xf>
    <xf numFmtId="0" fontId="12" fillId="0" borderId="4" xfId="0" applyFont="1" applyFill="1" applyBorder="1" applyAlignment="1" applyProtection="1">
      <alignment vertical="center"/>
    </xf>
    <xf numFmtId="0" fontId="12" fillId="0" borderId="5" xfId="0" applyFont="1" applyFill="1" applyBorder="1" applyAlignment="1" applyProtection="1">
      <alignment vertical="center"/>
    </xf>
    <xf numFmtId="0" fontId="18" fillId="0" borderId="15" xfId="0" applyFont="1" applyFill="1" applyBorder="1" applyAlignment="1" applyProtection="1">
      <alignment vertical="center"/>
    </xf>
    <xf numFmtId="2" fontId="6" fillId="0" borderId="1" xfId="0" applyNumberFormat="1" applyFont="1" applyFill="1" applyBorder="1" applyAlignment="1" applyProtection="1">
      <alignment horizontal="center" vertical="center"/>
    </xf>
    <xf numFmtId="2" fontId="4" fillId="0" borderId="11" xfId="0" applyNumberFormat="1" applyFont="1" applyBorder="1" applyAlignment="1" applyProtection="1">
      <alignment horizontal="center" vertical="center"/>
    </xf>
    <xf numFmtId="2" fontId="4" fillId="0" borderId="0" xfId="0" applyNumberFormat="1" applyFont="1" applyAlignment="1" applyProtection="1">
      <alignment horizontal="center" vertical="center"/>
    </xf>
    <xf numFmtId="2" fontId="4" fillId="0" borderId="1" xfId="0" applyNumberFormat="1" applyFont="1" applyFill="1" applyBorder="1" applyAlignment="1" applyProtection="1">
      <alignment horizontal="center" vertical="center"/>
    </xf>
    <xf numFmtId="0" fontId="14" fillId="0" borderId="0" xfId="0" applyFont="1" applyBorder="1" applyAlignment="1" applyProtection="1">
      <alignment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14" fontId="13" fillId="0" borderId="15" xfId="0" applyNumberFormat="1" applyFont="1" applyFill="1" applyBorder="1" applyAlignment="1" applyProtection="1">
      <alignment vertical="center"/>
    </xf>
    <xf numFmtId="14" fontId="13" fillId="0" borderId="0" xfId="0" applyNumberFormat="1" applyFont="1" applyFill="1" applyBorder="1" applyAlignment="1" applyProtection="1">
      <alignment horizontal="right" vertical="center"/>
    </xf>
    <xf numFmtId="2" fontId="12" fillId="0" borderId="0" xfId="0" applyNumberFormat="1" applyFont="1" applyFill="1" applyAlignment="1" applyProtection="1">
      <alignment vertical="center"/>
    </xf>
    <xf numFmtId="4" fontId="12" fillId="0" borderId="0" xfId="0" applyNumberFormat="1" applyFont="1" applyFill="1" applyAlignment="1" applyProtection="1">
      <alignment vertical="center"/>
    </xf>
    <xf numFmtId="0" fontId="10" fillId="0" borderId="0" xfId="0" applyNumberFormat="1" applyFont="1" applyFill="1" applyAlignment="1" applyProtection="1">
      <alignment vertical="center"/>
    </xf>
    <xf numFmtId="9" fontId="12" fillId="0" borderId="0" xfId="0" applyNumberFormat="1" applyFont="1" applyFill="1" applyAlignment="1" applyProtection="1">
      <alignment vertical="center"/>
    </xf>
    <xf numFmtId="2" fontId="4" fillId="3" borderId="1" xfId="0" applyNumberFormat="1" applyFont="1" applyFill="1" applyBorder="1" applyAlignment="1" applyProtection="1">
      <alignment horizontal="center" vertical="center"/>
    </xf>
    <xf numFmtId="10" fontId="4" fillId="3" borderId="1" xfId="0" applyNumberFormat="1" applyFont="1" applyFill="1" applyBorder="1" applyAlignment="1" applyProtection="1">
      <alignment horizontal="center" vertical="center"/>
    </xf>
    <xf numFmtId="0" fontId="13" fillId="0" borderId="14" xfId="0" applyFont="1" applyFill="1" applyBorder="1" applyAlignment="1" applyProtection="1">
      <alignment vertical="center"/>
    </xf>
    <xf numFmtId="0" fontId="12" fillId="0" borderId="12" xfId="0" applyFont="1" applyFill="1" applyBorder="1" applyAlignment="1" applyProtection="1">
      <alignment vertical="center"/>
    </xf>
    <xf numFmtId="0" fontId="12" fillId="0" borderId="13" xfId="0" applyFont="1" applyFill="1" applyBorder="1" applyAlignment="1" applyProtection="1">
      <alignment vertical="center"/>
    </xf>
    <xf numFmtId="0" fontId="10" fillId="0" borderId="1" xfId="0" applyFont="1" applyFill="1" applyBorder="1" applyAlignment="1" applyProtection="1">
      <alignment horizontal="center" vertical="center" wrapText="1"/>
    </xf>
    <xf numFmtId="0" fontId="14" fillId="0" borderId="4" xfId="0" applyFont="1" applyBorder="1" applyAlignment="1" applyProtection="1">
      <alignment vertical="center"/>
    </xf>
    <xf numFmtId="0" fontId="6" fillId="0" borderId="1" xfId="0" applyFont="1" applyFill="1" applyBorder="1" applyAlignment="1" applyProtection="1">
      <alignment horizontal="center" vertical="center"/>
    </xf>
    <xf numFmtId="0" fontId="12" fillId="0" borderId="3" xfId="0" applyFont="1" applyFill="1" applyBorder="1" applyAlignment="1" applyProtection="1">
      <alignment vertical="center"/>
    </xf>
    <xf numFmtId="0" fontId="13" fillId="0" borderId="21" xfId="0" applyFont="1" applyFill="1" applyBorder="1" applyAlignment="1" applyProtection="1">
      <alignment vertical="center" wrapText="1"/>
    </xf>
    <xf numFmtId="0" fontId="12" fillId="0" borderId="21" xfId="0" applyFont="1" applyFill="1" applyBorder="1" applyAlignment="1" applyProtection="1">
      <alignment vertical="center" wrapText="1"/>
    </xf>
    <xf numFmtId="0" fontId="11" fillId="0" borderId="0" xfId="0" applyFont="1" applyFill="1" applyBorder="1" applyAlignment="1" applyProtection="1">
      <alignment horizontal="center" vertical="center"/>
    </xf>
    <xf numFmtId="0" fontId="12" fillId="0" borderId="15" xfId="0" applyFont="1" applyFill="1" applyBorder="1" applyAlignment="1" applyProtection="1">
      <alignment vertical="center"/>
    </xf>
    <xf numFmtId="0" fontId="12" fillId="0" borderId="18" xfId="0" applyFont="1" applyFill="1" applyBorder="1" applyAlignment="1" applyProtection="1">
      <alignment vertical="center"/>
    </xf>
    <xf numFmtId="0" fontId="0" fillId="0" borderId="4" xfId="0" applyBorder="1" applyProtection="1"/>
    <xf numFmtId="0" fontId="0" fillId="0" borderId="5" xfId="0" applyBorder="1" applyProtection="1"/>
    <xf numFmtId="0" fontId="0" fillId="0" borderId="12" xfId="0" applyBorder="1" applyProtection="1"/>
    <xf numFmtId="0" fontId="0" fillId="0" borderId="13" xfId="0" applyBorder="1" applyProtection="1"/>
    <xf numFmtId="0" fontId="0" fillId="0" borderId="1" xfId="0" applyFill="1" applyBorder="1" applyAlignment="1" applyProtection="1">
      <alignment horizontal="center" vertical="center" wrapText="1"/>
    </xf>
    <xf numFmtId="0" fontId="3" fillId="4" borderId="15" xfId="0" applyFont="1" applyFill="1" applyBorder="1" applyAlignment="1" applyProtection="1">
      <alignment vertical="center"/>
    </xf>
    <xf numFmtId="0" fontId="3" fillId="0" borderId="15" xfId="0" applyFont="1" applyBorder="1" applyProtection="1"/>
    <xf numFmtId="0" fontId="3" fillId="0" borderId="0" xfId="0" applyFont="1" applyProtection="1"/>
    <xf numFmtId="0" fontId="3" fillId="0" borderId="3" xfId="0" applyFont="1" applyBorder="1" applyProtection="1"/>
    <xf numFmtId="0" fontId="3" fillId="0" borderId="14" xfId="0" applyFont="1" applyBorder="1" applyProtection="1"/>
    <xf numFmtId="0" fontId="23" fillId="0" borderId="0" xfId="0" applyFont="1" applyFill="1" applyAlignment="1" applyProtection="1">
      <alignment vertical="center"/>
    </xf>
    <xf numFmtId="0" fontId="23" fillId="3" borderId="15" xfId="0" applyFont="1" applyFill="1" applyBorder="1" applyAlignment="1" applyProtection="1">
      <alignment vertical="center"/>
    </xf>
    <xf numFmtId="0" fontId="21" fillId="3" borderId="0" xfId="0" applyFont="1" applyFill="1" applyProtection="1"/>
    <xf numFmtId="0" fontId="13" fillId="0" borderId="0" xfId="0" applyFont="1" applyFill="1" applyBorder="1" applyAlignment="1" applyProtection="1">
      <alignment vertical="center"/>
    </xf>
    <xf numFmtId="0" fontId="13" fillId="0" borderId="15" xfId="0" applyFont="1" applyFill="1" applyBorder="1" applyAlignment="1" applyProtection="1">
      <alignment vertical="center"/>
    </xf>
    <xf numFmtId="0" fontId="12" fillId="0" borderId="1" xfId="0" applyFont="1" applyFill="1" applyBorder="1" applyAlignment="1" applyProtection="1">
      <alignment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12" fillId="0" borderId="2" xfId="0" applyFont="1" applyFill="1" applyBorder="1" applyAlignment="1" applyProtection="1">
      <alignment vertical="center" wrapText="1"/>
    </xf>
    <xf numFmtId="0" fontId="12" fillId="0" borderId="20" xfId="0" applyFont="1" applyFill="1" applyBorder="1" applyAlignment="1" applyProtection="1">
      <alignment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2" fillId="0" borderId="19" xfId="0" applyFont="1" applyFill="1" applyBorder="1" applyAlignment="1" applyProtection="1">
      <alignment vertical="center" wrapText="1"/>
    </xf>
    <xf numFmtId="0" fontId="12" fillId="0" borderId="0" xfId="0" applyFont="1" applyFill="1" applyBorder="1" applyAlignment="1" applyProtection="1">
      <alignment horizontal="center" vertical="center" wrapText="1"/>
    </xf>
    <xf numFmtId="0" fontId="13" fillId="0" borderId="15" xfId="0" applyFont="1" applyFill="1" applyBorder="1" applyAlignment="1" applyProtection="1">
      <alignment vertical="center"/>
    </xf>
    <xf numFmtId="2" fontId="4" fillId="0" borderId="1" xfId="0" applyNumberFormat="1" applyFont="1" applyFill="1" applyBorder="1" applyAlignment="1" applyProtection="1">
      <alignment horizontal="center" vertical="center"/>
      <protection locked="0"/>
    </xf>
    <xf numFmtId="14" fontId="4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13" fillId="0" borderId="15" xfId="0" applyFont="1" applyFill="1" applyBorder="1" applyAlignment="1" applyProtection="1">
      <alignment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24" fillId="0" borderId="0" xfId="0" applyFont="1" applyBorder="1" applyAlignment="1" applyProtection="1">
      <alignment vertical="center"/>
    </xf>
    <xf numFmtId="49" fontId="14" fillId="0" borderId="1" xfId="0" applyNumberFormat="1" applyFont="1" applyFill="1" applyBorder="1" applyAlignment="1" applyProtection="1">
      <alignment horizontal="left" vertical="center" wrapText="1"/>
    </xf>
    <xf numFmtId="0" fontId="23" fillId="0" borderId="0" xfId="0" applyFont="1" applyFill="1" applyBorder="1" applyAlignment="1" applyProtection="1">
      <alignment vertical="center"/>
    </xf>
    <xf numFmtId="0" fontId="13" fillId="0" borderId="15" xfId="0" applyFont="1" applyFill="1" applyBorder="1" applyAlignment="1" applyProtection="1">
      <alignment vertical="center"/>
    </xf>
    <xf numFmtId="49" fontId="26" fillId="0" borderId="0" xfId="0" applyNumberFormat="1" applyFont="1" applyFill="1" applyAlignment="1" applyProtection="1">
      <alignment vertical="center"/>
    </xf>
    <xf numFmtId="0" fontId="27" fillId="0" borderId="0" xfId="0" applyFont="1" applyFill="1" applyAlignment="1" applyProtection="1">
      <alignment vertical="center"/>
    </xf>
    <xf numFmtId="0" fontId="27" fillId="0" borderId="0" xfId="0" applyFont="1" applyFill="1" applyAlignment="1" applyProtection="1">
      <alignment horizontal="center" vertical="center"/>
    </xf>
    <xf numFmtId="4" fontId="27" fillId="0" borderId="0" xfId="0" applyNumberFormat="1" applyFont="1" applyFill="1" applyAlignment="1" applyProtection="1">
      <alignment vertical="center"/>
    </xf>
    <xf numFmtId="0" fontId="26" fillId="0" borderId="1" xfId="0" applyFont="1" applyFill="1" applyBorder="1" applyAlignment="1" applyProtection="1">
      <alignment vertical="center" wrapText="1"/>
    </xf>
    <xf numFmtId="0" fontId="25" fillId="0" borderId="0" xfId="0" applyFont="1" applyFill="1" applyAlignment="1" applyProtection="1">
      <alignment vertical="center" wrapText="1"/>
    </xf>
    <xf numFmtId="0" fontId="25" fillId="0" borderId="1" xfId="0" applyFont="1" applyFill="1" applyBorder="1" applyAlignment="1" applyProtection="1">
      <alignment vertical="center" wrapText="1"/>
    </xf>
    <xf numFmtId="0" fontId="25" fillId="0" borderId="0" xfId="0" applyFont="1" applyFill="1" applyAlignment="1" applyProtection="1">
      <alignment vertical="center"/>
    </xf>
    <xf numFmtId="0" fontId="17" fillId="0" borderId="18" xfId="0" applyNumberFormat="1" applyFont="1" applyFill="1" applyBorder="1" applyAlignment="1" applyProtection="1">
      <alignment horizontal="center" vertical="center"/>
    </xf>
    <xf numFmtId="0" fontId="17" fillId="0" borderId="18" xfId="0" applyNumberFormat="1" applyFont="1" applyFill="1" applyBorder="1" applyAlignment="1" applyProtection="1">
      <alignment horizontal="left" vertical="center"/>
    </xf>
    <xf numFmtId="0" fontId="4" fillId="0" borderId="2" xfId="0" applyFont="1" applyBorder="1" applyAlignment="1" applyProtection="1">
      <alignment vertical="center"/>
    </xf>
    <xf numFmtId="0" fontId="4" fillId="0" borderId="19" xfId="0" applyFont="1" applyBorder="1" applyAlignment="1" applyProtection="1">
      <alignment vertical="center"/>
    </xf>
    <xf numFmtId="0" fontId="12" fillId="0" borderId="1" xfId="0" applyFont="1" applyFill="1" applyBorder="1" applyAlignment="1" applyProtection="1">
      <alignment horizontal="center" vertical="center" wrapText="1"/>
    </xf>
    <xf numFmtId="0" fontId="10" fillId="0" borderId="0" xfId="0" applyFont="1" applyFill="1" applyBorder="1" applyAlignment="1" applyProtection="1">
      <alignment vertical="center"/>
    </xf>
    <xf numFmtId="0" fontId="0" fillId="0" borderId="20" xfId="0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vertical="center"/>
    </xf>
    <xf numFmtId="0" fontId="11" fillId="0" borderId="19" xfId="0" applyFont="1" applyFill="1" applyBorder="1" applyAlignment="1" applyProtection="1">
      <alignment vertical="center"/>
    </xf>
    <xf numFmtId="0" fontId="11" fillId="0" borderId="20" xfId="0" applyFont="1" applyFill="1" applyBorder="1" applyAlignment="1" applyProtection="1">
      <alignment vertical="center"/>
    </xf>
    <xf numFmtId="0" fontId="11" fillId="0" borderId="19" xfId="0" applyFont="1" applyFill="1" applyBorder="1" applyAlignment="1" applyProtection="1">
      <alignment horizontal="center" vertical="center"/>
    </xf>
    <xf numFmtId="0" fontId="11" fillId="0" borderId="20" xfId="0" applyFont="1" applyFill="1" applyBorder="1" applyAlignment="1" applyProtection="1">
      <alignment horizontal="center" vertical="center"/>
    </xf>
    <xf numFmtId="0" fontId="11" fillId="0" borderId="8" xfId="0" applyFont="1" applyFill="1" applyBorder="1" applyAlignment="1" applyProtection="1">
      <alignment horizontal="center" vertical="center" wrapText="1"/>
    </xf>
    <xf numFmtId="49" fontId="11" fillId="0" borderId="0" xfId="2" applyNumberFormat="1" applyFont="1" applyBorder="1" applyAlignment="1" applyProtection="1">
      <alignment horizontal="center" vertical="center" wrapText="1"/>
    </xf>
    <xf numFmtId="49" fontId="11" fillId="0" borderId="17" xfId="2" applyNumberFormat="1" applyFont="1" applyBorder="1" applyAlignment="1" applyProtection="1">
      <alignment horizontal="center" vertical="center" wrapText="1"/>
    </xf>
    <xf numFmtId="0" fontId="12" fillId="0" borderId="2" xfId="0" applyFont="1" applyFill="1" applyBorder="1" applyAlignment="1" applyProtection="1">
      <alignment vertical="center"/>
    </xf>
    <xf numFmtId="0" fontId="12" fillId="0" borderId="19" xfId="0" applyFont="1" applyFill="1" applyBorder="1" applyAlignment="1" applyProtection="1">
      <alignment vertical="center"/>
    </xf>
    <xf numFmtId="0" fontId="12" fillId="0" borderId="20" xfId="0" applyFont="1" applyFill="1" applyBorder="1" applyAlignment="1" applyProtection="1">
      <alignment vertical="center"/>
    </xf>
    <xf numFmtId="0" fontId="11" fillId="0" borderId="1" xfId="0" applyFont="1" applyFill="1" applyBorder="1" applyAlignment="1" applyProtection="1">
      <alignment horizontal="center" vertical="center" wrapText="1"/>
    </xf>
    <xf numFmtId="4" fontId="6" fillId="3" borderId="20" xfId="0" applyNumberFormat="1" applyFont="1" applyFill="1" applyBorder="1" applyAlignment="1" applyProtection="1">
      <alignment horizontal="center" vertical="center"/>
    </xf>
    <xf numFmtId="0" fontId="13" fillId="0" borderId="15" xfId="0" applyFont="1" applyFill="1" applyBorder="1" applyAlignment="1" applyProtection="1">
      <alignment vertical="center"/>
    </xf>
    <xf numFmtId="0" fontId="6" fillId="0" borderId="2" xfId="0" applyFont="1" applyFill="1" applyBorder="1" applyAlignment="1" applyProtection="1">
      <alignment vertical="center"/>
    </xf>
    <xf numFmtId="0" fontId="0" fillId="0" borderId="20" xfId="0" applyBorder="1" applyAlignment="1">
      <alignment vertical="center"/>
    </xf>
    <xf numFmtId="0" fontId="12" fillId="0" borderId="0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164" fontId="5" fillId="0" borderId="0" xfId="0" applyNumberFormat="1" applyFont="1" applyFill="1" applyBorder="1" applyAlignment="1" applyProtection="1">
      <alignment horizontal="center" vertical="center"/>
    </xf>
    <xf numFmtId="10" fontId="5" fillId="0" borderId="0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center" vertical="center"/>
    </xf>
    <xf numFmtId="2" fontId="6" fillId="0" borderId="0" xfId="0" applyNumberFormat="1" applyFont="1" applyFill="1" applyBorder="1" applyAlignment="1" applyProtection="1">
      <alignment horizontal="center" vertical="center"/>
    </xf>
    <xf numFmtId="4" fontId="4" fillId="3" borderId="0" xfId="0" applyNumberFormat="1" applyFont="1" applyFill="1" applyBorder="1" applyAlignment="1" applyProtection="1">
      <alignment horizontal="center" vertical="center"/>
    </xf>
    <xf numFmtId="4" fontId="6" fillId="3" borderId="0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vertical="center" wrapText="1"/>
    </xf>
    <xf numFmtId="0" fontId="0" fillId="0" borderId="0" xfId="0" applyFill="1" applyBorder="1" applyAlignment="1" applyProtection="1">
      <alignment horizontal="center" vertical="center" wrapText="1"/>
    </xf>
    <xf numFmtId="0" fontId="11" fillId="0" borderId="9" xfId="0" applyFont="1" applyFill="1" applyBorder="1" applyAlignment="1" applyProtection="1">
      <alignment horizontal="center" vertical="center" wrapText="1"/>
    </xf>
    <xf numFmtId="0" fontId="11" fillId="0" borderId="29" xfId="0" applyFont="1" applyFill="1" applyBorder="1" applyAlignment="1" applyProtection="1">
      <alignment vertical="center"/>
    </xf>
    <xf numFmtId="0" fontId="11" fillId="0" borderId="30" xfId="0" applyFont="1" applyFill="1" applyBorder="1" applyAlignment="1" applyProtection="1">
      <alignment vertical="center"/>
    </xf>
    <xf numFmtId="0" fontId="11" fillId="0" borderId="31" xfId="0" applyFont="1" applyFill="1" applyBorder="1" applyAlignment="1" applyProtection="1">
      <alignment vertical="center"/>
    </xf>
    <xf numFmtId="49" fontId="11" fillId="0" borderId="28" xfId="2" applyNumberFormat="1" applyFont="1" applyBorder="1" applyAlignment="1" applyProtection="1">
      <alignment horizontal="center" vertical="center" wrapText="1"/>
    </xf>
    <xf numFmtId="49" fontId="11" fillId="0" borderId="25" xfId="2" applyNumberFormat="1" applyFont="1" applyBorder="1" applyAlignment="1" applyProtection="1">
      <alignment horizontal="center" vertical="center" wrapText="1"/>
    </xf>
    <xf numFmtId="0" fontId="12" fillId="0" borderId="19" xfId="0" applyFont="1" applyBorder="1" applyProtection="1"/>
    <xf numFmtId="0" fontId="12" fillId="0" borderId="28" xfId="0" applyFont="1" applyBorder="1" applyProtection="1"/>
    <xf numFmtId="0" fontId="17" fillId="0" borderId="18" xfId="0" applyNumberFormat="1" applyFont="1" applyFill="1" applyBorder="1" applyAlignment="1" applyProtection="1">
      <alignment horizontal="center" vertical="center" wrapText="1"/>
    </xf>
    <xf numFmtId="0" fontId="12" fillId="0" borderId="17" xfId="0" applyFont="1" applyBorder="1" applyAlignment="1" applyProtection="1">
      <alignment wrapText="1"/>
    </xf>
    <xf numFmtId="0" fontId="12" fillId="0" borderId="17" xfId="0" applyFont="1" applyBorder="1" applyProtection="1"/>
    <xf numFmtId="0" fontId="12" fillId="0" borderId="32" xfId="0" applyFont="1" applyBorder="1" applyProtection="1"/>
    <xf numFmtId="0" fontId="11" fillId="0" borderId="18" xfId="0" applyFont="1" applyBorder="1" applyAlignment="1" applyProtection="1">
      <alignment horizontal="right" vertical="center" indent="1"/>
    </xf>
    <xf numFmtId="0" fontId="12" fillId="0" borderId="18" xfId="0" applyFont="1" applyBorder="1" applyProtection="1"/>
    <xf numFmtId="0" fontId="12" fillId="0" borderId="27" xfId="0" applyFont="1" applyBorder="1" applyProtection="1"/>
    <xf numFmtId="0" fontId="11" fillId="0" borderId="2" xfId="0" applyFont="1" applyFill="1" applyBorder="1" applyAlignment="1" applyProtection="1">
      <alignment horizontal="centerContinuous" vertical="center"/>
    </xf>
    <xf numFmtId="0" fontId="11" fillId="0" borderId="19" xfId="0" applyFont="1" applyFill="1" applyBorder="1" applyAlignment="1" applyProtection="1">
      <alignment horizontal="centerContinuous" vertical="center"/>
    </xf>
    <xf numFmtId="0" fontId="12" fillId="0" borderId="20" xfId="0" applyFont="1" applyFill="1" applyBorder="1" applyAlignment="1" applyProtection="1">
      <alignment horizontal="centerContinuous" vertical="center"/>
    </xf>
    <xf numFmtId="0" fontId="11" fillId="3" borderId="0" xfId="0" applyFont="1" applyFill="1" applyBorder="1" applyAlignment="1" applyProtection="1">
      <alignment horizontal="center" vertical="center" wrapText="1"/>
    </xf>
    <xf numFmtId="0" fontId="12" fillId="3" borderId="0" xfId="0" applyFont="1" applyFill="1" applyBorder="1" applyAlignment="1" applyProtection="1">
      <alignment horizontal="center" vertical="center" wrapText="1"/>
      <protection locked="0"/>
    </xf>
    <xf numFmtId="0" fontId="12" fillId="0" borderId="20" xfId="0" applyFont="1" applyFill="1" applyBorder="1" applyAlignment="1" applyProtection="1">
      <alignment horizontal="center" vertical="center"/>
      <protection locked="0"/>
    </xf>
    <xf numFmtId="0" fontId="12" fillId="0" borderId="19" xfId="0" applyFont="1" applyFill="1" applyBorder="1" applyAlignment="1" applyProtection="1">
      <alignment horizontal="center" vertical="center"/>
      <protection locked="0"/>
    </xf>
    <xf numFmtId="0" fontId="12" fillId="6" borderId="1" xfId="0" applyFont="1" applyFill="1" applyBorder="1" applyAlignment="1" applyProtection="1">
      <alignment horizontal="center" vertical="center"/>
      <protection locked="0"/>
    </xf>
    <xf numFmtId="0" fontId="9" fillId="0" borderId="2" xfId="0" applyFont="1" applyFill="1" applyBorder="1" applyAlignment="1" applyProtection="1">
      <alignment horizontal="left" vertical="center"/>
    </xf>
    <xf numFmtId="0" fontId="0" fillId="0" borderId="19" xfId="0" applyFill="1" applyBorder="1" applyAlignment="1" applyProtection="1">
      <alignment horizontal="left" vertical="center"/>
    </xf>
    <xf numFmtId="0" fontId="9" fillId="0" borderId="19" xfId="0" applyFont="1" applyFill="1" applyBorder="1" applyAlignment="1" applyProtection="1">
      <alignment horizontal="left" vertical="center"/>
    </xf>
    <xf numFmtId="0" fontId="9" fillId="0" borderId="20" xfId="0" applyFont="1" applyFill="1" applyBorder="1" applyAlignment="1" applyProtection="1">
      <alignment horizontal="left" vertical="center"/>
    </xf>
    <xf numFmtId="0" fontId="6" fillId="0" borderId="2" xfId="0" applyFont="1" applyBorder="1" applyAlignment="1" applyProtection="1">
      <alignment vertical="center"/>
    </xf>
    <xf numFmtId="0" fontId="6" fillId="0" borderId="19" xfId="0" applyFont="1" applyBorder="1" applyAlignment="1" applyProtection="1">
      <alignment vertical="center"/>
    </xf>
    <xf numFmtId="2" fontId="4" fillId="0" borderId="0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Border="1" applyAlignment="1" applyProtection="1">
      <alignment vertical="center"/>
    </xf>
    <xf numFmtId="0" fontId="8" fillId="0" borderId="19" xfId="0" applyFont="1" applyFill="1" applyBorder="1" applyAlignment="1" applyProtection="1">
      <alignment vertical="center"/>
    </xf>
    <xf numFmtId="0" fontId="0" fillId="0" borderId="20" xfId="0" applyBorder="1" applyAlignment="1" applyProtection="1">
      <alignment vertical="center"/>
    </xf>
    <xf numFmtId="0" fontId="0" fillId="0" borderId="19" xfId="0" applyBorder="1" applyAlignment="1">
      <alignment vertical="center"/>
    </xf>
    <xf numFmtId="0" fontId="4" fillId="0" borderId="20" xfId="0" applyNumberFormat="1" applyFont="1" applyBorder="1" applyAlignment="1" applyProtection="1">
      <alignment vertical="center"/>
    </xf>
    <xf numFmtId="14" fontId="12" fillId="0" borderId="2" xfId="0" applyNumberFormat="1" applyFont="1" applyFill="1" applyBorder="1" applyAlignment="1" applyProtection="1">
      <alignment horizontal="centerContinuous" vertical="center"/>
    </xf>
    <xf numFmtId="14" fontId="12" fillId="0" borderId="20" xfId="0" applyNumberFormat="1" applyFont="1" applyFill="1" applyBorder="1" applyAlignment="1" applyProtection="1">
      <alignment horizontal="centerContinuous" vertical="center"/>
    </xf>
    <xf numFmtId="0" fontId="4" fillId="3" borderId="2" xfId="0" applyFont="1" applyFill="1" applyBorder="1" applyAlignment="1" applyProtection="1">
      <alignment vertical="center"/>
    </xf>
    <xf numFmtId="0" fontId="4" fillId="3" borderId="19" xfId="0" applyFont="1" applyFill="1" applyBorder="1" applyAlignment="1" applyProtection="1">
      <alignment vertical="center"/>
    </xf>
    <xf numFmtId="0" fontId="4" fillId="3" borderId="20" xfId="0" applyFont="1" applyFill="1" applyBorder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30" fillId="0" borderId="1" xfId="0" applyFont="1" applyFill="1" applyBorder="1" applyAlignment="1" applyProtection="1">
      <alignment horizontal="center" vertical="center" wrapText="1"/>
    </xf>
    <xf numFmtId="0" fontId="18" fillId="7" borderId="1" xfId="0" applyFont="1" applyFill="1" applyBorder="1" applyAlignment="1" applyProtection="1">
      <alignment horizontal="center" vertical="center" wrapText="1"/>
    </xf>
    <xf numFmtId="0" fontId="3" fillId="0" borderId="0" xfId="0" applyFont="1" applyFill="1" applyAlignment="1" applyProtection="1">
      <alignment vertical="center"/>
    </xf>
    <xf numFmtId="0" fontId="6" fillId="0" borderId="0" xfId="0" applyFont="1" applyAlignment="1"/>
    <xf numFmtId="0" fontId="0" fillId="0" borderId="0" xfId="0" applyBorder="1"/>
    <xf numFmtId="0" fontId="4" fillId="0" borderId="0" xfId="0" applyFont="1" applyAlignment="1"/>
    <xf numFmtId="0" fontId="0" fillId="0" borderId="34" xfId="0" applyBorder="1" applyProtection="1"/>
    <xf numFmtId="0" fontId="0" fillId="0" borderId="15" xfId="0" applyBorder="1" applyProtection="1"/>
    <xf numFmtId="0" fontId="30" fillId="0" borderId="15" xfId="0" applyFont="1" applyFill="1" applyBorder="1" applyAlignment="1" applyProtection="1">
      <alignment horizontal="center" vertical="center" wrapText="1"/>
    </xf>
    <xf numFmtId="0" fontId="0" fillId="0" borderId="11" xfId="0" applyFill="1" applyBorder="1" applyAlignment="1" applyProtection="1">
      <alignment vertic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30" fillId="0" borderId="2" xfId="0" applyFont="1" applyFill="1" applyBorder="1" applyAlignment="1" applyProtection="1">
      <alignment horizontal="center" vertical="center" wrapText="1"/>
    </xf>
    <xf numFmtId="0" fontId="12" fillId="0" borderId="30" xfId="0" applyFont="1" applyFill="1" applyBorder="1" applyAlignment="1" applyProtection="1">
      <alignment vertical="center"/>
    </xf>
    <xf numFmtId="0" fontId="6" fillId="0" borderId="29" xfId="0" applyFont="1" applyFill="1" applyBorder="1" applyAlignment="1" applyProtection="1">
      <alignment vertical="center"/>
    </xf>
    <xf numFmtId="0" fontId="6" fillId="0" borderId="30" xfId="0" applyFont="1" applyFill="1" applyBorder="1" applyAlignment="1" applyProtection="1">
      <alignment vertical="center"/>
    </xf>
    <xf numFmtId="0" fontId="0" fillId="0" borderId="30" xfId="0" applyBorder="1" applyAlignment="1" applyProtection="1"/>
    <xf numFmtId="0" fontId="0" fillId="0" borderId="31" xfId="0" applyBorder="1" applyAlignment="1" applyProtection="1"/>
    <xf numFmtId="16" fontId="13" fillId="0" borderId="15" xfId="0" applyNumberFormat="1" applyFont="1" applyFill="1" applyBorder="1" applyAlignment="1" applyProtection="1">
      <alignment vertical="center" wrapText="1"/>
    </xf>
    <xf numFmtId="0" fontId="0" fillId="0" borderId="36" xfId="0" applyBorder="1"/>
    <xf numFmtId="0" fontId="0" fillId="0" borderId="12" xfId="0" applyBorder="1"/>
    <xf numFmtId="0" fontId="0" fillId="0" borderId="14" xfId="0" applyBorder="1"/>
    <xf numFmtId="0" fontId="0" fillId="0" borderId="13" xfId="0" applyBorder="1"/>
    <xf numFmtId="0" fontId="0" fillId="0" borderId="15" xfId="0" applyBorder="1"/>
    <xf numFmtId="0" fontId="0" fillId="0" borderId="11" xfId="0" applyBorder="1"/>
    <xf numFmtId="0" fontId="4" fillId="0" borderId="1" xfId="0" applyFont="1" applyFill="1" applyBorder="1" applyAlignment="1" applyProtection="1">
      <alignment vertical="center" wrapText="1"/>
      <protection locked="0"/>
    </xf>
    <xf numFmtId="0" fontId="4" fillId="6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8" borderId="1" xfId="0" applyFont="1" applyFill="1" applyBorder="1" applyAlignment="1" applyProtection="1">
      <alignment vertical="center" wrapText="1"/>
      <protection locked="0"/>
    </xf>
    <xf numFmtId="14" fontId="13" fillId="0" borderId="15" xfId="0" applyNumberFormat="1" applyFont="1" applyBorder="1" applyAlignment="1" applyProtection="1">
      <alignment vertical="center" wrapText="1"/>
    </xf>
    <xf numFmtId="0" fontId="4" fillId="0" borderId="0" xfId="0" applyFont="1" applyFill="1" applyAlignment="1">
      <alignment vertical="center"/>
    </xf>
    <xf numFmtId="0" fontId="27" fillId="0" borderId="1" xfId="0" applyFont="1" applyFill="1" applyBorder="1" applyAlignment="1" applyProtection="1">
      <alignment vertical="center"/>
    </xf>
    <xf numFmtId="0" fontId="25" fillId="0" borderId="20" xfId="0" applyFont="1" applyFill="1" applyBorder="1" applyAlignment="1" applyProtection="1">
      <alignment vertical="center" wrapText="1"/>
    </xf>
    <xf numFmtId="0" fontId="3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6" fillId="5" borderId="35" xfId="0" applyFont="1" applyFill="1" applyBorder="1" applyAlignment="1">
      <alignment vertical="center" wrapText="1"/>
    </xf>
    <xf numFmtId="0" fontId="6" fillId="5" borderId="37" xfId="0" applyFont="1" applyFill="1" applyBorder="1" applyAlignment="1">
      <alignment vertical="center" wrapText="1"/>
    </xf>
    <xf numFmtId="0" fontId="6" fillId="5" borderId="37" xfId="0" applyFont="1" applyFill="1" applyBorder="1" applyAlignment="1">
      <alignment horizontal="center" vertical="center" wrapText="1"/>
    </xf>
    <xf numFmtId="0" fontId="6" fillId="5" borderId="37" xfId="0" applyFont="1" applyFill="1" applyBorder="1" applyAlignment="1" applyProtection="1">
      <alignment horizontal="center" vertical="center" wrapText="1"/>
    </xf>
    <xf numFmtId="0" fontId="6" fillId="5" borderId="3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22" fillId="0" borderId="1" xfId="0" applyFont="1" applyBorder="1" applyAlignment="1" applyProtection="1">
      <alignment horizontal="center" vertical="center"/>
    </xf>
    <xf numFmtId="0" fontId="6" fillId="0" borderId="37" xfId="3" applyFont="1" applyFill="1" applyBorder="1" applyAlignment="1" applyProtection="1">
      <alignment vertical="center" wrapText="1"/>
    </xf>
    <xf numFmtId="0" fontId="6" fillId="0" borderId="37" xfId="3" applyFont="1" applyFill="1" applyBorder="1" applyAlignment="1" applyProtection="1">
      <alignment horizontal="center" vertical="center" wrapText="1"/>
    </xf>
    <xf numFmtId="0" fontId="0" fillId="0" borderId="30" xfId="0" applyBorder="1"/>
    <xf numFmtId="0" fontId="14" fillId="0" borderId="12" xfId="0" applyFont="1" applyBorder="1" applyAlignment="1" applyProtection="1">
      <alignment vertical="center"/>
    </xf>
    <xf numFmtId="0" fontId="25" fillId="0" borderId="2" xfId="0" applyFont="1" applyFill="1" applyBorder="1" applyAlignment="1" applyProtection="1">
      <alignment vertical="center" wrapText="1"/>
    </xf>
    <xf numFmtId="0" fontId="26" fillId="0" borderId="35" xfId="0" applyFont="1" applyFill="1" applyBorder="1" applyAlignment="1" applyProtection="1">
      <alignment vertical="center" wrapText="1"/>
    </xf>
    <xf numFmtId="0" fontId="26" fillId="0" borderId="33" xfId="0" applyFont="1" applyFill="1" applyBorder="1" applyAlignment="1" applyProtection="1">
      <alignment vertical="center" wrapText="1"/>
    </xf>
    <xf numFmtId="0" fontId="26" fillId="0" borderId="37" xfId="0" applyFont="1" applyFill="1" applyBorder="1" applyAlignment="1" applyProtection="1">
      <alignment vertical="center" wrapText="1"/>
    </xf>
    <xf numFmtId="0" fontId="26" fillId="0" borderId="1" xfId="0" applyFont="1" applyFill="1" applyBorder="1" applyAlignment="1" applyProtection="1">
      <alignment vertical="center"/>
    </xf>
    <xf numFmtId="0" fontId="5" fillId="0" borderId="1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vertical="center"/>
    </xf>
    <xf numFmtId="0" fontId="25" fillId="0" borderId="0" xfId="0" applyFont="1" applyFill="1" applyBorder="1" applyAlignment="1" applyProtection="1">
      <alignment vertical="center"/>
    </xf>
    <xf numFmtId="0" fontId="26" fillId="7" borderId="1" xfId="0" applyFont="1" applyFill="1" applyBorder="1" applyAlignment="1" applyProtection="1">
      <alignment vertical="center"/>
    </xf>
    <xf numFmtId="0" fontId="27" fillId="0" borderId="19" xfId="0" applyFont="1" applyFill="1" applyBorder="1" applyAlignment="1" applyProtection="1">
      <alignment vertical="center"/>
    </xf>
    <xf numFmtId="0" fontId="27" fillId="0" borderId="17" xfId="0" applyFont="1" applyFill="1" applyBorder="1" applyAlignment="1" applyProtection="1">
      <alignment vertical="center"/>
    </xf>
    <xf numFmtId="0" fontId="26" fillId="0" borderId="17" xfId="0" applyFont="1" applyFill="1" applyBorder="1" applyAlignment="1" applyProtection="1">
      <alignment horizontal="center" vertical="center"/>
    </xf>
    <xf numFmtId="0" fontId="27" fillId="0" borderId="17" xfId="0" applyFont="1" applyFill="1" applyBorder="1" applyAlignment="1" applyProtection="1">
      <alignment horizontal="center" vertical="center"/>
    </xf>
    <xf numFmtId="14" fontId="27" fillId="0" borderId="17" xfId="0" applyNumberFormat="1" applyFont="1" applyFill="1" applyBorder="1" applyAlignment="1" applyProtection="1">
      <alignment horizontal="center" vertical="center"/>
    </xf>
    <xf numFmtId="0" fontId="31" fillId="0" borderId="8" xfId="0" applyFont="1" applyFill="1" applyBorder="1" applyAlignment="1" applyProtection="1">
      <alignment horizontal="center" vertical="center"/>
    </xf>
    <xf numFmtId="0" fontId="31" fillId="0" borderId="1" xfId="0" applyFont="1" applyFill="1" applyBorder="1" applyAlignment="1" applyProtection="1">
      <alignment horizontal="centerContinuous" vertical="center"/>
    </xf>
    <xf numFmtId="0" fontId="27" fillId="0" borderId="20" xfId="0" applyFont="1" applyFill="1" applyBorder="1" applyAlignment="1" applyProtection="1">
      <alignment horizontal="centerContinuous" vertical="center"/>
    </xf>
    <xf numFmtId="0" fontId="31" fillId="0" borderId="1" xfId="0" applyFont="1" applyFill="1" applyBorder="1" applyAlignment="1" applyProtection="1">
      <alignment horizontal="right" vertical="center"/>
    </xf>
    <xf numFmtId="0" fontId="31" fillId="7" borderId="1" xfId="0" applyFont="1" applyFill="1" applyBorder="1" applyAlignment="1" applyProtection="1">
      <alignment vertical="center"/>
    </xf>
    <xf numFmtId="0" fontId="26" fillId="9" borderId="1" xfId="0" applyFont="1" applyFill="1" applyBorder="1" applyAlignment="1" applyProtection="1">
      <alignment vertical="center"/>
      <protection locked="0"/>
    </xf>
    <xf numFmtId="0" fontId="5" fillId="9" borderId="1" xfId="0" applyFont="1" applyFill="1" applyBorder="1" applyAlignment="1" applyProtection="1">
      <alignment vertical="center"/>
      <protection locked="0"/>
    </xf>
    <xf numFmtId="0" fontId="32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4" fillId="0" borderId="2" xfId="0" applyFont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vertical="center" wrapText="1"/>
      <protection locked="0"/>
    </xf>
    <xf numFmtId="164" fontId="5" fillId="0" borderId="38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vertical="center"/>
    </xf>
    <xf numFmtId="164" fontId="6" fillId="0" borderId="0" xfId="0" applyNumberFormat="1" applyFont="1" applyFill="1" applyBorder="1" applyAlignment="1" applyProtection="1">
      <alignment horizontal="center" vertical="center"/>
    </xf>
    <xf numFmtId="14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7" borderId="20" xfId="0" applyFont="1" applyFill="1" applyBorder="1" applyAlignment="1" applyProtection="1">
      <alignment horizontal="center" vertical="center" wrapText="1"/>
      <protection locked="0"/>
    </xf>
    <xf numFmtId="0" fontId="4" fillId="7" borderId="1" xfId="0" applyFont="1" applyFill="1" applyBorder="1" applyAlignment="1">
      <alignment vertical="center" wrapText="1"/>
    </xf>
    <xf numFmtId="0" fontId="4" fillId="7" borderId="1" xfId="0" applyFont="1" applyFill="1" applyBorder="1" applyAlignment="1" applyProtection="1">
      <alignment vertical="center" wrapText="1"/>
      <protection locked="0"/>
    </xf>
    <xf numFmtId="0" fontId="26" fillId="0" borderId="2" xfId="0" applyFont="1" applyFill="1" applyBorder="1" applyAlignment="1" applyProtection="1">
      <alignment vertical="center"/>
    </xf>
    <xf numFmtId="0" fontId="26" fillId="0" borderId="20" xfId="0" applyFont="1" applyFill="1" applyBorder="1" applyAlignment="1" applyProtection="1">
      <alignment vertical="center"/>
    </xf>
    <xf numFmtId="0" fontId="3" fillId="0" borderId="2" xfId="0" applyFont="1" applyFill="1" applyBorder="1" applyAlignment="1">
      <alignment vertical="center"/>
    </xf>
    <xf numFmtId="0" fontId="3" fillId="0" borderId="19" xfId="0" applyFont="1" applyFill="1" applyBorder="1" applyAlignment="1">
      <alignment vertical="center"/>
    </xf>
    <xf numFmtId="0" fontId="3" fillId="0" borderId="20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Continuous" vertical="center"/>
    </xf>
    <xf numFmtId="0" fontId="6" fillId="0" borderId="20" xfId="0" applyFont="1" applyBorder="1" applyAlignment="1">
      <alignment horizontal="centerContinuous" vertical="center"/>
    </xf>
    <xf numFmtId="166" fontId="5" fillId="0" borderId="1" xfId="0" applyNumberFormat="1" applyFont="1" applyFill="1" applyBorder="1" applyAlignment="1">
      <alignment horizontal="center" vertical="center"/>
    </xf>
    <xf numFmtId="166" fontId="27" fillId="0" borderId="1" xfId="0" applyNumberFormat="1" applyFont="1" applyFill="1" applyBorder="1" applyAlignment="1" applyProtection="1">
      <alignment horizontal="center" vertical="center"/>
    </xf>
    <xf numFmtId="166" fontId="11" fillId="0" borderId="20" xfId="0" applyNumberFormat="1" applyFont="1" applyFill="1" applyBorder="1" applyAlignment="1" applyProtection="1">
      <alignment horizontal="centerContinuous" vertical="center"/>
    </xf>
    <xf numFmtId="0" fontId="6" fillId="0" borderId="2" xfId="0" applyFont="1" applyFill="1" applyBorder="1" applyAlignment="1" applyProtection="1">
      <alignment vertical="center"/>
    </xf>
    <xf numFmtId="0" fontId="6" fillId="0" borderId="19" xfId="0" applyFont="1" applyFill="1" applyBorder="1" applyAlignment="1" applyProtection="1">
      <alignment vertical="center"/>
    </xf>
    <xf numFmtId="0" fontId="13" fillId="0" borderId="15" xfId="0" applyFont="1" applyFill="1" applyBorder="1" applyAlignment="1" applyProtection="1">
      <alignment vertical="center"/>
    </xf>
    <xf numFmtId="0" fontId="13" fillId="0" borderId="15" xfId="0" applyFont="1" applyFill="1" applyBorder="1" applyAlignment="1" applyProtection="1">
      <alignment vertical="center"/>
    </xf>
    <xf numFmtId="0" fontId="4" fillId="0" borderId="0" xfId="0" applyFont="1" applyAlignment="1">
      <alignment wrapText="1"/>
    </xf>
    <xf numFmtId="0" fontId="4" fillId="0" borderId="0" xfId="0" applyFont="1" applyBorder="1" applyAlignment="1">
      <alignment vertical="center" wrapText="1"/>
    </xf>
    <xf numFmtId="0" fontId="22" fillId="0" borderId="6" xfId="0" applyFont="1" applyBorder="1" applyAlignment="1" applyProtection="1">
      <alignment horizontal="center" vertical="center"/>
    </xf>
    <xf numFmtId="0" fontId="3" fillId="0" borderId="19" xfId="0" applyFont="1" applyBorder="1" applyAlignment="1">
      <alignment vertical="center"/>
    </xf>
    <xf numFmtId="0" fontId="4" fillId="0" borderId="2" xfId="0" applyFont="1" applyFill="1" applyBorder="1" applyAlignment="1" applyProtection="1">
      <alignment vertical="center"/>
    </xf>
    <xf numFmtId="0" fontId="4" fillId="0" borderId="19" xfId="0" applyFont="1" applyFill="1" applyBorder="1" applyAlignment="1" applyProtection="1">
      <alignment vertical="center"/>
    </xf>
    <xf numFmtId="0" fontId="4" fillId="0" borderId="20" xfId="0" applyFont="1" applyFill="1" applyBorder="1" applyAlignment="1" applyProtection="1">
      <alignment vertical="center"/>
    </xf>
    <xf numFmtId="10" fontId="11" fillId="0" borderId="1" xfId="0" applyNumberFormat="1" applyFont="1" applyFill="1" applyBorder="1" applyAlignment="1" applyProtection="1">
      <alignment horizontal="center" vertical="center" wrapText="1"/>
    </xf>
    <xf numFmtId="0" fontId="13" fillId="0" borderId="15" xfId="0" applyFont="1" applyFill="1" applyBorder="1" applyAlignment="1" applyProtection="1">
      <alignment vertical="center"/>
    </xf>
    <xf numFmtId="10" fontId="4" fillId="0" borderId="1" xfId="0" applyNumberFormat="1" applyFont="1" applyFill="1" applyBorder="1" applyAlignment="1" applyProtection="1">
      <alignment horizontal="center" vertical="center" wrapText="1"/>
    </xf>
    <xf numFmtId="2" fontId="4" fillId="0" borderId="1" xfId="0" applyNumberFormat="1" applyFont="1" applyFill="1" applyBorder="1" applyAlignment="1" applyProtection="1">
      <alignment horizontal="center" vertical="center" wrapText="1"/>
    </xf>
    <xf numFmtId="10" fontId="4" fillId="10" borderId="1" xfId="0" applyNumberFormat="1" applyFont="1" applyFill="1" applyBorder="1" applyAlignment="1" applyProtection="1">
      <alignment horizontal="center" vertical="center"/>
    </xf>
    <xf numFmtId="4" fontId="4" fillId="3" borderId="1" xfId="0" applyNumberFormat="1" applyFont="1" applyFill="1" applyBorder="1" applyAlignment="1" applyProtection="1">
      <alignment horizontal="center" vertical="center"/>
    </xf>
    <xf numFmtId="4" fontId="6" fillId="3" borderId="1" xfId="0" applyNumberFormat="1" applyFont="1" applyFill="1" applyBorder="1" applyAlignment="1" applyProtection="1">
      <alignment horizontal="center" vertical="center"/>
    </xf>
    <xf numFmtId="4" fontId="6" fillId="3" borderId="1" xfId="0" applyNumberFormat="1" applyFont="1" applyFill="1" applyBorder="1" applyAlignment="1" applyProtection="1">
      <alignment horizontal="center" vertical="center" wrapText="1"/>
    </xf>
    <xf numFmtId="4" fontId="4" fillId="3" borderId="1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Border="1" applyAlignment="1" applyProtection="1">
      <alignment vertical="center" wrapText="1"/>
    </xf>
    <xf numFmtId="4" fontId="4" fillId="3" borderId="20" xfId="0" applyNumberFormat="1" applyFont="1" applyFill="1" applyBorder="1" applyAlignment="1" applyProtection="1">
      <alignment horizontal="center" vertical="center" wrapText="1"/>
    </xf>
    <xf numFmtId="0" fontId="13" fillId="0" borderId="15" xfId="0" applyFont="1" applyFill="1" applyBorder="1" applyAlignment="1" applyProtection="1">
      <alignment vertical="center"/>
    </xf>
    <xf numFmtId="0" fontId="6" fillId="0" borderId="6" xfId="0" applyFont="1" applyFill="1" applyBorder="1" applyAlignment="1" applyProtection="1">
      <alignment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3" fillId="0" borderId="15" xfId="0" applyFont="1" applyFill="1" applyBorder="1" applyAlignment="1" applyProtection="1">
      <alignment vertical="center"/>
    </xf>
    <xf numFmtId="0" fontId="12" fillId="8" borderId="1" xfId="0" applyFont="1" applyFill="1" applyBorder="1" applyAlignment="1" applyProtection="1">
      <alignment horizontal="center" vertical="center" wrapText="1"/>
      <protection locked="0"/>
    </xf>
    <xf numFmtId="0" fontId="12" fillId="8" borderId="1" xfId="0" applyNumberFormat="1" applyFont="1" applyFill="1" applyBorder="1" applyAlignment="1" applyProtection="1">
      <alignment horizontal="center" vertical="center" wrapText="1"/>
      <protection locked="0"/>
    </xf>
    <xf numFmtId="1" fontId="12" fillId="8" borderId="1" xfId="0" applyNumberFormat="1" applyFont="1" applyFill="1" applyBorder="1" applyAlignment="1" applyProtection="1">
      <alignment horizontal="center" vertical="center" wrapText="1"/>
      <protection locked="0"/>
    </xf>
    <xf numFmtId="0" fontId="15" fillId="8" borderId="1" xfId="0" applyFont="1" applyFill="1" applyBorder="1" applyAlignment="1" applyProtection="1">
      <alignment horizontal="center" vertical="center" wrapText="1"/>
      <protection locked="0"/>
    </xf>
    <xf numFmtId="0" fontId="15" fillId="8" borderId="1" xfId="0" applyFont="1" applyFill="1" applyBorder="1" applyAlignment="1" applyProtection="1">
      <alignment horizontal="center" vertical="center" wrapText="1"/>
    </xf>
    <xf numFmtId="0" fontId="10" fillId="8" borderId="20" xfId="0" applyFont="1" applyFill="1" applyBorder="1" applyAlignment="1" applyProtection="1">
      <alignment horizontal="center" vertical="center" wrapText="1"/>
      <protection locked="0"/>
    </xf>
    <xf numFmtId="0" fontId="10" fillId="8" borderId="1" xfId="0" applyFont="1" applyFill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vertical="center"/>
    </xf>
    <xf numFmtId="0" fontId="13" fillId="0" borderId="4" xfId="0" applyFont="1" applyBorder="1" applyAlignment="1" applyProtection="1">
      <alignment vertical="center"/>
    </xf>
    <xf numFmtId="2" fontId="4" fillId="8" borderId="1" xfId="0" applyNumberFormat="1" applyFont="1" applyFill="1" applyBorder="1" applyAlignment="1" applyProtection="1">
      <alignment horizontal="center" vertical="center"/>
      <protection locked="0"/>
    </xf>
    <xf numFmtId="0" fontId="12" fillId="8" borderId="12" xfId="0" applyFont="1" applyFill="1" applyBorder="1" applyAlignment="1" applyProtection="1">
      <alignment vertical="center"/>
    </xf>
    <xf numFmtId="0" fontId="12" fillId="8" borderId="0" xfId="0" applyFont="1" applyFill="1" applyBorder="1" applyAlignment="1" applyProtection="1">
      <alignment vertical="center"/>
    </xf>
    <xf numFmtId="0" fontId="10" fillId="8" borderId="1" xfId="0" applyFont="1" applyFill="1" applyBorder="1" applyAlignment="1" applyProtection="1">
      <alignment horizontal="center" vertical="center" wrapText="1"/>
      <protection locked="0"/>
    </xf>
    <xf numFmtId="0" fontId="0" fillId="7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3" fillId="7" borderId="0" xfId="0" applyFont="1" applyFill="1" applyAlignment="1">
      <alignment vertical="center"/>
    </xf>
    <xf numFmtId="0" fontId="13" fillId="0" borderId="15" xfId="0" applyFont="1" applyFill="1" applyBorder="1" applyAlignment="1" applyProtection="1">
      <alignment vertical="center"/>
    </xf>
    <xf numFmtId="17" fontId="13" fillId="0" borderId="0" xfId="0" applyNumberFormat="1" applyFont="1" applyFill="1" applyBorder="1" applyAlignment="1" applyProtection="1">
      <alignment horizontal="right" vertical="center"/>
    </xf>
    <xf numFmtId="0" fontId="12" fillId="0" borderId="0" xfId="0" applyFont="1" applyBorder="1" applyAlignment="1" applyProtection="1">
      <alignment horizontal="right" vertical="center"/>
    </xf>
    <xf numFmtId="16" fontId="13" fillId="0" borderId="0" xfId="0" applyNumberFormat="1" applyFont="1" applyFill="1" applyBorder="1" applyAlignment="1" applyProtection="1">
      <alignment horizontal="right" vertical="center" wrapText="1"/>
    </xf>
    <xf numFmtId="0" fontId="3" fillId="0" borderId="11" xfId="0" applyFont="1" applyFill="1" applyBorder="1" applyAlignment="1" applyProtection="1">
      <alignment vertical="center"/>
    </xf>
    <xf numFmtId="0" fontId="4" fillId="8" borderId="1" xfId="0" applyFont="1" applyFill="1" applyBorder="1" applyAlignment="1" applyProtection="1">
      <alignment horizontal="center" vertical="center" wrapText="1"/>
      <protection locked="0"/>
    </xf>
    <xf numFmtId="16" fontId="13" fillId="0" borderId="39" xfId="0" applyNumberFormat="1" applyFont="1" applyFill="1" applyBorder="1" applyAlignment="1" applyProtection="1">
      <alignment horizontal="right" vertical="center" wrapText="1"/>
    </xf>
    <xf numFmtId="49" fontId="4" fillId="0" borderId="20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vertical="center" wrapText="1"/>
    </xf>
    <xf numFmtId="0" fontId="6" fillId="0" borderId="2" xfId="0" applyFont="1" applyFill="1" applyBorder="1" applyAlignment="1" applyProtection="1">
      <alignment horizontal="left" vertical="center"/>
    </xf>
    <xf numFmtId="0" fontId="5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0" borderId="15" xfId="0" applyFont="1" applyFill="1" applyBorder="1" applyAlignment="1" applyProtection="1">
      <alignment vertical="center"/>
    </xf>
    <xf numFmtId="0" fontId="6" fillId="0" borderId="2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left" vertical="center" wrapText="1"/>
    </xf>
    <xf numFmtId="0" fontId="6" fillId="0" borderId="20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>
      <alignment horizontal="left" vertical="center"/>
    </xf>
    <xf numFmtId="10" fontId="22" fillId="0" borderId="37" xfId="0" applyNumberFormat="1" applyFont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 wrapText="1"/>
    </xf>
    <xf numFmtId="0" fontId="12" fillId="0" borderId="19" xfId="0" applyFont="1" applyFill="1" applyBorder="1" applyAlignment="1" applyProtection="1">
      <alignment vertical="center"/>
    </xf>
    <xf numFmtId="0" fontId="13" fillId="0" borderId="15" xfId="0" applyFont="1" applyFill="1" applyBorder="1" applyAlignment="1" applyProtection="1">
      <alignment vertical="center"/>
    </xf>
    <xf numFmtId="0" fontId="3" fillId="0" borderId="19" xfId="0" applyFont="1" applyBorder="1" applyAlignment="1">
      <alignment vertical="center" wrapText="1"/>
    </xf>
    <xf numFmtId="0" fontId="4" fillId="0" borderId="2" xfId="0" applyFont="1" applyBorder="1" applyAlignment="1" applyProtection="1">
      <alignment vertical="center"/>
    </xf>
    <xf numFmtId="0" fontId="4" fillId="0" borderId="19" xfId="0" applyFont="1" applyBorder="1" applyAlignment="1" applyProtection="1">
      <alignment vertical="center"/>
    </xf>
    <xf numFmtId="0" fontId="4" fillId="0" borderId="2" xfId="0" applyFont="1" applyFill="1" applyBorder="1" applyAlignment="1" applyProtection="1">
      <alignment vertical="center"/>
    </xf>
    <xf numFmtId="0" fontId="18" fillId="0" borderId="40" xfId="0" applyFont="1" applyFill="1" applyBorder="1" applyAlignment="1" applyProtection="1">
      <alignment horizontal="right" vertical="center"/>
    </xf>
    <xf numFmtId="2" fontId="4" fillId="0" borderId="19" xfId="0" applyNumberFormat="1" applyFont="1" applyFill="1" applyBorder="1" applyAlignment="1" applyProtection="1">
      <alignment horizontal="center" vertical="center"/>
    </xf>
    <xf numFmtId="0" fontId="14" fillId="0" borderId="28" xfId="0" applyFont="1" applyFill="1" applyBorder="1" applyAlignment="1" applyProtection="1">
      <alignment vertical="center" wrapText="1"/>
    </xf>
    <xf numFmtId="0" fontId="14" fillId="0" borderId="34" xfId="0" applyFont="1" applyFill="1" applyBorder="1" applyAlignment="1" applyProtection="1">
      <alignment vertical="center" wrapText="1"/>
    </xf>
    <xf numFmtId="2" fontId="4" fillId="0" borderId="19" xfId="0" applyNumberFormat="1" applyFont="1" applyFill="1" applyBorder="1" applyAlignment="1" applyProtection="1">
      <alignment horizontal="center" vertical="center"/>
      <protection locked="0"/>
    </xf>
    <xf numFmtId="2" fontId="4" fillId="11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 wrapText="1"/>
    </xf>
    <xf numFmtId="0" fontId="3" fillId="0" borderId="0" xfId="0" applyFont="1"/>
    <xf numFmtId="49" fontId="4" fillId="8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8" xfId="0" applyFont="1" applyBorder="1" applyAlignment="1" applyProtection="1">
      <alignment vertical="center" wrapText="1"/>
    </xf>
    <xf numFmtId="0" fontId="4" fillId="0" borderId="28" xfId="0" applyFont="1" applyBorder="1" applyAlignment="1">
      <alignment vertical="center" wrapText="1"/>
    </xf>
    <xf numFmtId="0" fontId="4" fillId="0" borderId="28" xfId="0" applyFont="1" applyFill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4" fillId="0" borderId="34" xfId="0" applyFont="1" applyBorder="1" applyAlignment="1" applyProtection="1">
      <alignment vertical="center" wrapText="1"/>
    </xf>
    <xf numFmtId="0" fontId="4" fillId="0" borderId="34" xfId="0" applyFont="1" applyBorder="1" applyAlignment="1">
      <alignment vertical="center" wrapText="1"/>
    </xf>
    <xf numFmtId="0" fontId="4" fillId="0" borderId="34" xfId="0" applyFont="1" applyFill="1" applyBorder="1" applyAlignment="1" applyProtection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4" fillId="0" borderId="34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21" fillId="4" borderId="0" xfId="0" applyFont="1" applyFill="1" applyBorder="1" applyAlignment="1" applyProtection="1">
      <alignment horizontal="right" vertical="center"/>
    </xf>
    <xf numFmtId="0" fontId="21" fillId="4" borderId="0" xfId="0" applyFont="1" applyFill="1" applyBorder="1" applyAlignment="1" applyProtection="1">
      <alignment horizontal="left" vertical="center"/>
    </xf>
    <xf numFmtId="0" fontId="4" fillId="0" borderId="6" xfId="0" applyFont="1" applyFill="1" applyBorder="1" applyAlignment="1" applyProtection="1">
      <alignment horizontal="center" vertical="center" wrapText="1"/>
    </xf>
    <xf numFmtId="0" fontId="4" fillId="8" borderId="6" xfId="0" applyFont="1" applyFill="1" applyBorder="1" applyAlignment="1" applyProtection="1">
      <alignment vertical="center" wrapText="1"/>
      <protection locked="0"/>
    </xf>
    <xf numFmtId="0" fontId="4" fillId="0" borderId="37" xfId="0" applyFont="1" applyFill="1" applyBorder="1" applyAlignment="1" applyProtection="1">
      <alignment horizontal="center" vertical="center" wrapText="1"/>
    </xf>
    <xf numFmtId="0" fontId="4" fillId="8" borderId="37" xfId="0" applyFont="1" applyFill="1" applyBorder="1" applyAlignment="1" applyProtection="1">
      <alignment vertical="center" wrapText="1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4" fillId="0" borderId="0" xfId="0" applyFont="1" applyFill="1" applyBorder="1" applyAlignment="1">
      <alignment horizontal="center" vertical="center"/>
    </xf>
    <xf numFmtId="0" fontId="4" fillId="0" borderId="35" xfId="0" applyFont="1" applyFill="1" applyBorder="1" applyAlignment="1" applyProtection="1">
      <alignment vertical="center"/>
      <protection locked="0"/>
    </xf>
    <xf numFmtId="0" fontId="4" fillId="6" borderId="2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Fill="1" applyBorder="1" applyAlignment="1" applyProtection="1">
      <alignment horizontal="right" vertical="center"/>
      <protection locked="0"/>
    </xf>
    <xf numFmtId="0" fontId="4" fillId="0" borderId="33" xfId="0" applyFont="1" applyFill="1" applyBorder="1" applyAlignment="1">
      <alignment horizontal="center" vertical="center"/>
    </xf>
    <xf numFmtId="0" fontId="4" fillId="0" borderId="39" xfId="0" applyFont="1" applyFill="1" applyBorder="1" applyAlignment="1">
      <alignment horizontal="center" vertical="center"/>
    </xf>
    <xf numFmtId="0" fontId="4" fillId="0" borderId="40" xfId="0" applyFont="1" applyFill="1" applyBorder="1" applyAlignment="1" applyProtection="1">
      <alignment vertical="center"/>
      <protection locked="0"/>
    </xf>
    <xf numFmtId="0" fontId="14" fillId="0" borderId="25" xfId="0" applyFont="1" applyFill="1" applyBorder="1" applyAlignment="1" applyProtection="1">
      <alignment horizontal="right" vertical="center"/>
      <protection locked="0"/>
    </xf>
    <xf numFmtId="14" fontId="11" fillId="0" borderId="2" xfId="0" applyNumberFormat="1" applyFont="1" applyFill="1" applyBorder="1" applyAlignment="1" applyProtection="1">
      <alignment horizontal="centerContinuous" vertical="center"/>
    </xf>
    <xf numFmtId="0" fontId="4" fillId="0" borderId="20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14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4" fillId="0" borderId="1" xfId="0" applyNumberFormat="1" applyFont="1" applyFill="1" applyBorder="1" applyAlignment="1">
      <alignment horizontal="center" vertical="center" wrapText="1"/>
    </xf>
    <xf numFmtId="0" fontId="6" fillId="0" borderId="35" xfId="3" applyFont="1" applyFill="1" applyBorder="1" applyAlignment="1" applyProtection="1">
      <alignment vertical="center" wrapText="1"/>
    </xf>
    <xf numFmtId="0" fontId="6" fillId="0" borderId="33" xfId="3" applyFont="1" applyFill="1" applyBorder="1" applyAlignment="1" applyProtection="1">
      <alignment horizontal="center" vertical="center" wrapText="1"/>
    </xf>
    <xf numFmtId="0" fontId="22" fillId="0" borderId="1" xfId="0" applyFont="1" applyBorder="1" applyAlignment="1" applyProtection="1">
      <alignment horizontal="center" vertical="center" wrapText="1"/>
    </xf>
    <xf numFmtId="10" fontId="22" fillId="0" borderId="1" xfId="0" applyNumberFormat="1" applyFont="1" applyBorder="1" applyAlignment="1" applyProtection="1">
      <alignment horizontal="center" vertical="center" wrapText="1"/>
    </xf>
    <xf numFmtId="0" fontId="22" fillId="0" borderId="2" xfId="0" applyFont="1" applyBorder="1" applyAlignment="1" applyProtection="1">
      <alignment horizontal="center" vertical="center" wrapText="1"/>
    </xf>
    <xf numFmtId="0" fontId="4" fillId="0" borderId="25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Fill="1" applyBorder="1" applyAlignment="1">
      <alignment vertical="center" wrapText="1"/>
    </xf>
    <xf numFmtId="0" fontId="22" fillId="0" borderId="6" xfId="0" applyFont="1" applyBorder="1" applyAlignment="1" applyProtection="1">
      <alignment horizontal="center" vertical="center" wrapText="1"/>
    </xf>
    <xf numFmtId="10" fontId="22" fillId="0" borderId="6" xfId="0" applyNumberFormat="1" applyFont="1" applyBorder="1" applyAlignment="1" applyProtection="1">
      <alignment horizontal="center" vertical="center" wrapText="1"/>
    </xf>
    <xf numFmtId="0" fontId="13" fillId="0" borderId="15" xfId="0" applyFont="1" applyFill="1" applyBorder="1" applyAlignment="1" applyProtection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20" xfId="0" applyFont="1" applyBorder="1" applyAlignment="1">
      <alignment horizontal="right" vertical="center"/>
    </xf>
    <xf numFmtId="0" fontId="11" fillId="7" borderId="1" xfId="0" applyFont="1" applyFill="1" applyBorder="1" applyAlignment="1" applyProtection="1">
      <alignment horizontal="center" vertical="center" wrapText="1"/>
    </xf>
    <xf numFmtId="0" fontId="13" fillId="0" borderId="15" xfId="0" applyFont="1" applyFill="1" applyBorder="1" applyAlignment="1" applyProtection="1">
      <alignment vertical="center"/>
    </xf>
    <xf numFmtId="0" fontId="11" fillId="0" borderId="1" xfId="0" applyFont="1" applyFill="1" applyBorder="1" applyAlignment="1" applyProtection="1">
      <alignment horizontal="center" vertical="center" wrapText="1"/>
    </xf>
    <xf numFmtId="0" fontId="13" fillId="0" borderId="0" xfId="0" applyFont="1" applyBorder="1" applyAlignment="1" applyProtection="1">
      <alignment vertical="center"/>
    </xf>
    <xf numFmtId="0" fontId="13" fillId="12" borderId="14" xfId="0" applyFont="1" applyFill="1" applyBorder="1" applyAlignment="1" applyProtection="1">
      <alignment vertical="center"/>
    </xf>
    <xf numFmtId="0" fontId="21" fillId="12" borderId="0" xfId="0" applyFont="1" applyFill="1" applyProtection="1"/>
    <xf numFmtId="0" fontId="21" fillId="0" borderId="0" xfId="0" applyFont="1" applyFill="1" applyProtection="1"/>
    <xf numFmtId="0" fontId="4" fillId="0" borderId="1" xfId="0" applyFont="1" applyBorder="1" applyAlignment="1">
      <alignment vertical="center" wrapText="1"/>
    </xf>
    <xf numFmtId="0" fontId="0" fillId="0" borderId="21" xfId="0" applyBorder="1" applyProtection="1"/>
    <xf numFmtId="0" fontId="18" fillId="0" borderId="1" xfId="0" applyFont="1" applyFill="1" applyBorder="1" applyAlignment="1" applyProtection="1">
      <alignment horizontal="center" vertical="center" wrapText="1"/>
    </xf>
    <xf numFmtId="0" fontId="18" fillId="0" borderId="28" xfId="0" applyFont="1" applyFill="1" applyBorder="1" applyAlignment="1" applyProtection="1">
      <alignment horizontal="center" vertical="center" wrapText="1"/>
    </xf>
    <xf numFmtId="0" fontId="18" fillId="0" borderId="0" xfId="0" applyFont="1" applyFill="1" applyBorder="1" applyAlignment="1" applyProtection="1">
      <alignment horizontal="center" vertical="center" wrapText="1"/>
    </xf>
    <xf numFmtId="0" fontId="18" fillId="0" borderId="34" xfId="0" applyFont="1" applyFill="1" applyBorder="1" applyAlignment="1" applyProtection="1">
      <alignment horizontal="center" vertical="center" wrapText="1"/>
    </xf>
    <xf numFmtId="0" fontId="13" fillId="0" borderId="4" xfId="0" applyFont="1" applyBorder="1"/>
    <xf numFmtId="0" fontId="13" fillId="0" borderId="0" xfId="0" applyFont="1" applyBorder="1"/>
    <xf numFmtId="0" fontId="13" fillId="0" borderId="12" xfId="0" applyFont="1" applyBorder="1"/>
    <xf numFmtId="0" fontId="13" fillId="0" borderId="31" xfId="0" applyFont="1" applyBorder="1" applyAlignment="1" applyProtection="1"/>
    <xf numFmtId="0" fontId="35" fillId="7" borderId="20" xfId="0" applyFont="1" applyFill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locked="0"/>
    </xf>
    <xf numFmtId="0" fontId="35" fillId="0" borderId="2" xfId="0" applyFont="1" applyBorder="1" applyAlignment="1" applyProtection="1">
      <alignment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locked="0"/>
    </xf>
    <xf numFmtId="14" fontId="35" fillId="0" borderId="1" xfId="0" applyNumberFormat="1" applyFont="1" applyBorder="1" applyAlignment="1" applyProtection="1">
      <alignment horizontal="center" vertical="center" wrapText="1"/>
      <protection locked="0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7" borderId="1" xfId="0" applyFont="1" applyFill="1" applyBorder="1" applyAlignment="1" applyProtection="1">
      <alignment vertical="center" wrapText="1"/>
      <protection locked="0"/>
    </xf>
    <xf numFmtId="164" fontId="6" fillId="7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8" borderId="20" xfId="0" applyFont="1" applyFill="1" applyBorder="1" applyAlignment="1" applyProtection="1">
      <alignment horizontal="center" vertical="center" wrapText="1"/>
      <protection locked="0"/>
    </xf>
    <xf numFmtId="14" fontId="4" fillId="8" borderId="1" xfId="0" applyNumberFormat="1" applyFont="1" applyFill="1" applyBorder="1" applyAlignment="1" applyProtection="1">
      <alignment vertical="center" wrapText="1"/>
      <protection locked="0"/>
    </xf>
    <xf numFmtId="0" fontId="4" fillId="0" borderId="2" xfId="0" applyFont="1" applyFill="1" applyBorder="1" applyAlignment="1" applyProtection="1">
      <alignment vertical="center" wrapText="1"/>
    </xf>
    <xf numFmtId="0" fontId="0" fillId="0" borderId="20" xfId="0" applyBorder="1" applyAlignment="1">
      <alignment vertical="center" wrapText="1"/>
    </xf>
    <xf numFmtId="14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14" fontId="6" fillId="0" borderId="20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left" vertical="center" wrapText="1"/>
    </xf>
    <xf numFmtId="0" fontId="4" fillId="0" borderId="19" xfId="0" applyFont="1" applyFill="1" applyBorder="1" applyAlignment="1" applyProtection="1">
      <alignment horizontal="left" vertical="center" wrapText="1"/>
    </xf>
    <xf numFmtId="0" fontId="4" fillId="0" borderId="20" xfId="0" applyFont="1" applyFill="1" applyBorder="1" applyAlignment="1" applyProtection="1">
      <alignment horizontal="left" vertical="center" wrapText="1"/>
    </xf>
    <xf numFmtId="49" fontId="14" fillId="8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11" fillId="0" borderId="2" xfId="0" applyFont="1" applyFill="1" applyBorder="1" applyAlignment="1" applyProtection="1">
      <alignment vertical="center" wrapText="1"/>
    </xf>
    <xf numFmtId="0" fontId="11" fillId="0" borderId="19" xfId="0" applyFont="1" applyFill="1" applyBorder="1" applyAlignment="1" applyProtection="1">
      <alignment vertical="center" wrapText="1"/>
    </xf>
    <xf numFmtId="0" fontId="11" fillId="0" borderId="20" xfId="0" applyFont="1" applyFill="1" applyBorder="1" applyAlignment="1" applyProtection="1">
      <alignment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0" fillId="0" borderId="19" xfId="0" applyFill="1" applyBorder="1" applyAlignment="1">
      <alignment horizontal="center" vertical="center" wrapText="1"/>
    </xf>
    <xf numFmtId="0" fontId="0" fillId="0" borderId="20" xfId="0" applyFill="1" applyBorder="1" applyAlignment="1">
      <alignment horizontal="center" vertical="center" wrapText="1"/>
    </xf>
    <xf numFmtId="0" fontId="10" fillId="0" borderId="2" xfId="0" applyFont="1" applyBorder="1" applyAlignment="1" applyProtection="1">
      <alignment vertical="center" wrapText="1"/>
    </xf>
    <xf numFmtId="0" fontId="0" fillId="0" borderId="19" xfId="0" applyBorder="1" applyAlignment="1">
      <alignment vertical="center" wrapText="1"/>
    </xf>
    <xf numFmtId="0" fontId="6" fillId="0" borderId="2" xfId="0" applyFont="1" applyFill="1" applyBorder="1" applyAlignment="1" applyProtection="1">
      <alignment vertical="center"/>
    </xf>
    <xf numFmtId="0" fontId="0" fillId="0" borderId="19" xfId="0" applyBorder="1" applyAlignment="1">
      <alignment vertical="center"/>
    </xf>
    <xf numFmtId="0" fontId="0" fillId="0" borderId="20" xfId="0" applyBorder="1" applyAlignment="1">
      <alignment vertical="center"/>
    </xf>
    <xf numFmtId="0" fontId="4" fillId="8" borderId="2" xfId="0" applyFont="1" applyFill="1" applyBorder="1" applyAlignment="1" applyProtection="1">
      <alignment horizontal="center" vertical="center" wrapText="1"/>
      <protection locked="0"/>
    </xf>
    <xf numFmtId="0" fontId="0" fillId="0" borderId="19" xfId="0" applyBorder="1" applyAlignment="1" applyProtection="1">
      <alignment horizontal="center" vertical="center" wrapText="1"/>
      <protection locked="0"/>
    </xf>
    <xf numFmtId="0" fontId="0" fillId="0" borderId="20" xfId="0" applyBorder="1" applyAlignment="1" applyProtection="1">
      <alignment horizontal="center" vertical="center" wrapText="1"/>
      <protection locked="0"/>
    </xf>
    <xf numFmtId="0" fontId="30" fillId="0" borderId="2" xfId="0" applyFont="1" applyFill="1" applyBorder="1" applyAlignment="1" applyProtection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12" fillId="0" borderId="2" xfId="0" applyFont="1" applyFill="1" applyBorder="1" applyAlignment="1" applyProtection="1">
      <alignment vertical="center" wrapText="1"/>
    </xf>
    <xf numFmtId="0" fontId="12" fillId="0" borderId="20" xfId="0" applyFont="1" applyFill="1" applyBorder="1" applyAlignment="1" applyProtection="1">
      <alignment vertical="center" wrapText="1"/>
    </xf>
    <xf numFmtId="0" fontId="4" fillId="0" borderId="2" xfId="0" applyFont="1" applyBorder="1" applyAlignment="1" applyProtection="1">
      <alignment vertical="center"/>
    </xf>
    <xf numFmtId="0" fontId="4" fillId="0" borderId="19" xfId="0" applyFont="1" applyBorder="1" applyAlignment="1" applyProtection="1">
      <alignment vertical="center"/>
    </xf>
    <xf numFmtId="0" fontId="4" fillId="0" borderId="20" xfId="0" applyFont="1" applyBorder="1" applyAlignment="1" applyProtection="1">
      <alignment vertical="center"/>
    </xf>
    <xf numFmtId="0" fontId="3" fillId="0" borderId="19" xfId="0" applyFont="1" applyBorder="1" applyAlignment="1">
      <alignment vertical="center" wrapText="1"/>
    </xf>
    <xf numFmtId="0" fontId="3" fillId="0" borderId="20" xfId="0" applyFont="1" applyBorder="1" applyAlignment="1">
      <alignment vertical="center" wrapText="1"/>
    </xf>
    <xf numFmtId="0" fontId="4" fillId="0" borderId="2" xfId="0" applyFont="1" applyFill="1" applyBorder="1" applyAlignment="1" applyProtection="1">
      <alignment vertical="center"/>
    </xf>
    <xf numFmtId="0" fontId="3" fillId="0" borderId="19" xfId="0" applyFont="1" applyBorder="1" applyAlignment="1">
      <alignment vertical="center"/>
    </xf>
    <xf numFmtId="0" fontId="3" fillId="0" borderId="20" xfId="0" applyFont="1" applyBorder="1" applyAlignment="1">
      <alignment vertical="center"/>
    </xf>
    <xf numFmtId="0" fontId="4" fillId="0" borderId="1" xfId="0" applyFont="1" applyFill="1" applyBorder="1" applyAlignment="1" applyProtection="1">
      <alignment vertical="center" wrapText="1"/>
    </xf>
    <xf numFmtId="0" fontId="4" fillId="0" borderId="19" xfId="0" applyFont="1" applyFill="1" applyBorder="1" applyAlignment="1" applyProtection="1">
      <alignment vertical="center" wrapText="1"/>
    </xf>
    <xf numFmtId="0" fontId="4" fillId="0" borderId="20" xfId="0" applyFont="1" applyFill="1" applyBorder="1" applyAlignment="1" applyProtection="1">
      <alignment vertical="center" wrapText="1"/>
    </xf>
    <xf numFmtId="0" fontId="4" fillId="6" borderId="33" xfId="0" applyFont="1" applyFill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8" borderId="2" xfId="0" applyFont="1" applyFill="1" applyBorder="1" applyAlignment="1" applyProtection="1">
      <alignment vertical="center" wrapText="1"/>
      <protection locked="0"/>
    </xf>
    <xf numFmtId="0" fontId="4" fillId="8" borderId="20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horizontal="left" vertical="center" wrapText="1"/>
    </xf>
    <xf numFmtId="0" fontId="4" fillId="0" borderId="20" xfId="0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 applyProtection="1">
      <alignment vertical="center" wrapText="1"/>
    </xf>
    <xf numFmtId="0" fontId="0" fillId="0" borderId="1" xfId="0" applyBorder="1" applyAlignment="1">
      <alignment vertical="center" wrapText="1"/>
    </xf>
    <xf numFmtId="0" fontId="4" fillId="0" borderId="2" xfId="0" applyFont="1" applyBorder="1" applyAlignment="1" applyProtection="1">
      <alignment vertical="center" wrapText="1"/>
    </xf>
    <xf numFmtId="0" fontId="4" fillId="0" borderId="19" xfId="0" applyFont="1" applyBorder="1" applyAlignment="1">
      <alignment vertical="center" wrapText="1"/>
    </xf>
    <xf numFmtId="0" fontId="4" fillId="0" borderId="20" xfId="0" applyFont="1" applyBorder="1" applyAlignment="1">
      <alignment vertical="center" wrapText="1"/>
    </xf>
    <xf numFmtId="0" fontId="4" fillId="3" borderId="1" xfId="0" applyFont="1" applyFill="1" applyBorder="1" applyAlignment="1" applyProtection="1">
      <alignment vertical="center" wrapText="1"/>
    </xf>
    <xf numFmtId="0" fontId="6" fillId="3" borderId="2" xfId="0" applyFont="1" applyFill="1" applyBorder="1" applyAlignment="1" applyProtection="1">
      <alignment vertical="center" wrapText="1"/>
    </xf>
    <xf numFmtId="0" fontId="6" fillId="3" borderId="19" xfId="0" applyFont="1" applyFill="1" applyBorder="1" applyAlignment="1" applyProtection="1">
      <alignment vertical="center" wrapText="1"/>
    </xf>
    <xf numFmtId="0" fontId="4" fillId="8" borderId="1" xfId="0" applyFont="1" applyFill="1" applyBorder="1" applyAlignment="1" applyProtection="1">
      <alignment vertical="center" wrapText="1"/>
      <protection locked="0"/>
    </xf>
    <xf numFmtId="0" fontId="4" fillId="8" borderId="20" xfId="0" applyFont="1" applyFill="1" applyBorder="1" applyAlignment="1" applyProtection="1">
      <alignment vertical="center" wrapText="1"/>
      <protection locked="0"/>
    </xf>
    <xf numFmtId="0" fontId="30" fillId="0" borderId="20" xfId="0" applyFont="1" applyFill="1" applyBorder="1" applyAlignment="1" applyProtection="1">
      <alignment horizontal="center" vertical="center" wrapText="1"/>
    </xf>
    <xf numFmtId="0" fontId="4" fillId="8" borderId="1" xfId="0" applyFont="1" applyFill="1" applyBorder="1" applyAlignment="1">
      <alignment vertical="center" wrapText="1"/>
    </xf>
    <xf numFmtId="0" fontId="12" fillId="2" borderId="2" xfId="0" applyFont="1" applyFill="1" applyBorder="1" applyAlignment="1" applyProtection="1">
      <alignment vertical="center" wrapText="1"/>
    </xf>
    <xf numFmtId="0" fontId="12" fillId="2" borderId="19" xfId="0" applyFont="1" applyFill="1" applyBorder="1" applyAlignment="1" applyProtection="1">
      <alignment vertical="center" wrapText="1"/>
    </xf>
    <xf numFmtId="0" fontId="12" fillId="2" borderId="20" xfId="0" applyFont="1" applyFill="1" applyBorder="1" applyAlignment="1" applyProtection="1">
      <alignment vertical="center" wrapText="1"/>
    </xf>
    <xf numFmtId="0" fontId="12" fillId="0" borderId="2" xfId="0" applyFont="1" applyFill="1" applyBorder="1" applyAlignment="1" applyProtection="1">
      <alignment vertical="center"/>
    </xf>
    <xf numFmtId="0" fontId="12" fillId="0" borderId="19" xfId="0" applyFont="1" applyFill="1" applyBorder="1" applyAlignment="1" applyProtection="1">
      <alignment vertical="center"/>
    </xf>
    <xf numFmtId="0" fontId="0" fillId="8" borderId="2" xfId="0" applyFill="1" applyBorder="1" applyAlignment="1" applyProtection="1">
      <alignment vertical="center" wrapText="1"/>
      <protection locked="0"/>
    </xf>
    <xf numFmtId="0" fontId="0" fillId="8" borderId="19" xfId="0" applyFill="1" applyBorder="1" applyAlignment="1" applyProtection="1">
      <alignment vertical="center" wrapText="1"/>
      <protection locked="0"/>
    </xf>
    <xf numFmtId="0" fontId="0" fillId="8" borderId="20" xfId="0" applyFill="1" applyBorder="1" applyAlignment="1" applyProtection="1">
      <alignment vertical="center" wrapText="1"/>
      <protection locked="0"/>
    </xf>
    <xf numFmtId="0" fontId="0" fillId="0" borderId="2" xfId="0" applyFill="1" applyBorder="1" applyAlignment="1" applyProtection="1">
      <alignment vertical="center" wrapText="1"/>
    </xf>
    <xf numFmtId="0" fontId="0" fillId="0" borderId="19" xfId="0" applyFill="1" applyBorder="1" applyAlignment="1" applyProtection="1">
      <alignment vertical="center" wrapText="1"/>
    </xf>
    <xf numFmtId="0" fontId="0" fillId="0" borderId="20" xfId="0" applyFill="1" applyBorder="1" applyAlignment="1" applyProtection="1">
      <alignment vertical="center" wrapText="1"/>
    </xf>
    <xf numFmtId="0" fontId="4" fillId="0" borderId="1" xfId="0" applyFont="1" applyFill="1" applyBorder="1" applyAlignment="1" applyProtection="1">
      <alignment vertical="center"/>
    </xf>
    <xf numFmtId="0" fontId="10" fillId="0" borderId="1" xfId="0" applyFont="1" applyFill="1" applyBorder="1" applyAlignment="1" applyProtection="1">
      <alignment vertical="center"/>
    </xf>
    <xf numFmtId="0" fontId="11" fillId="8" borderId="2" xfId="0" applyFont="1" applyFill="1" applyBorder="1" applyAlignment="1" applyProtection="1">
      <alignment vertical="center"/>
    </xf>
    <xf numFmtId="0" fontId="11" fillId="8" borderId="19" xfId="0" applyFont="1" applyFill="1" applyBorder="1" applyAlignment="1" applyProtection="1">
      <alignment vertical="center"/>
    </xf>
    <xf numFmtId="0" fontId="11" fillId="8" borderId="20" xfId="0" applyFont="1" applyFill="1" applyBorder="1" applyAlignment="1" applyProtection="1">
      <alignment vertical="center"/>
    </xf>
    <xf numFmtId="0" fontId="11" fillId="8" borderId="2" xfId="0" applyFont="1" applyFill="1" applyBorder="1" applyAlignment="1" applyProtection="1">
      <alignment horizontal="center" vertical="center"/>
    </xf>
    <xf numFmtId="0" fontId="11" fillId="8" borderId="20" xfId="0" applyFont="1" applyFill="1" applyBorder="1" applyAlignment="1" applyProtection="1">
      <alignment horizontal="center" vertical="center"/>
    </xf>
    <xf numFmtId="0" fontId="10" fillId="8" borderId="2" xfId="0" applyFont="1" applyFill="1" applyBorder="1" applyAlignment="1" applyProtection="1">
      <alignment horizontal="center" vertical="center" wrapText="1"/>
      <protection locked="0"/>
    </xf>
    <xf numFmtId="0" fontId="10" fillId="8" borderId="19" xfId="0" applyFont="1" applyFill="1" applyBorder="1" applyAlignment="1" applyProtection="1">
      <alignment horizontal="center" vertical="center" wrapText="1"/>
      <protection locked="0"/>
    </xf>
    <xf numFmtId="0" fontId="10" fillId="8" borderId="20" xfId="0" applyFont="1" applyFill="1" applyBorder="1" applyAlignment="1" applyProtection="1">
      <alignment horizontal="center" vertical="center" wrapText="1"/>
      <protection locked="0"/>
    </xf>
    <xf numFmtId="49" fontId="10" fillId="8" borderId="2" xfId="0" applyNumberFormat="1" applyFont="1" applyFill="1" applyBorder="1" applyAlignment="1" applyProtection="1">
      <alignment horizontal="center" vertical="center" wrapText="1"/>
      <protection locked="0"/>
    </xf>
    <xf numFmtId="49" fontId="10" fillId="8" borderId="20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2" xfId="0" applyFont="1" applyFill="1" applyBorder="1" applyAlignment="1" applyProtection="1">
      <alignment horizontal="center" vertical="center" wrapText="1"/>
    </xf>
    <xf numFmtId="0" fontId="11" fillId="0" borderId="20" xfId="0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vertical="center"/>
    </xf>
    <xf numFmtId="0" fontId="11" fillId="0" borderId="19" xfId="0" applyFont="1" applyFill="1" applyBorder="1" applyAlignment="1" applyProtection="1">
      <alignment vertical="center"/>
    </xf>
    <xf numFmtId="0" fontId="11" fillId="0" borderId="20" xfId="0" applyFont="1" applyFill="1" applyBorder="1" applyAlignment="1" applyProtection="1">
      <alignment vertical="center"/>
    </xf>
    <xf numFmtId="0" fontId="12" fillId="8" borderId="2" xfId="0" applyNumberFormat="1" applyFont="1" applyFill="1" applyBorder="1" applyAlignment="1" applyProtection="1">
      <alignment horizontal="left" vertical="center" wrapText="1"/>
      <protection locked="0"/>
    </xf>
    <xf numFmtId="0" fontId="0" fillId="8" borderId="19" xfId="0" applyFill="1" applyBorder="1" applyAlignment="1" applyProtection="1">
      <alignment horizontal="left" vertical="center"/>
      <protection locked="0"/>
    </xf>
    <xf numFmtId="0" fontId="0" fillId="8" borderId="20" xfId="0" applyFill="1" applyBorder="1" applyAlignment="1" applyProtection="1">
      <alignment horizontal="left" vertical="center"/>
      <protection locked="0"/>
    </xf>
    <xf numFmtId="0" fontId="11" fillId="0" borderId="23" xfId="0" applyNumberFormat="1" applyFont="1" applyFill="1" applyBorder="1" applyAlignment="1" applyProtection="1">
      <alignment horizontal="right" vertical="center" wrapText="1" indent="1"/>
    </xf>
    <xf numFmtId="0" fontId="11" fillId="0" borderId="17" xfId="0" applyNumberFormat="1" applyFont="1" applyFill="1" applyBorder="1" applyAlignment="1" applyProtection="1">
      <alignment horizontal="right" vertical="center" wrapText="1" indent="1"/>
    </xf>
    <xf numFmtId="49" fontId="11" fillId="0" borderId="9" xfId="2" applyNumberFormat="1" applyFont="1" applyBorder="1" applyAlignment="1" applyProtection="1">
      <alignment horizontal="center" vertical="center" wrapText="1"/>
    </xf>
    <xf numFmtId="49" fontId="11" fillId="0" borderId="0" xfId="2" applyNumberFormat="1" applyFont="1" applyBorder="1" applyAlignment="1" applyProtection="1">
      <alignment horizontal="center" vertical="center" wrapText="1"/>
    </xf>
    <xf numFmtId="49" fontId="11" fillId="0" borderId="7" xfId="2" applyNumberFormat="1" applyFont="1" applyBorder="1" applyAlignment="1" applyProtection="1">
      <alignment horizontal="center" vertical="center" wrapText="1"/>
    </xf>
    <xf numFmtId="49" fontId="11" fillId="0" borderId="28" xfId="2" applyNumberFormat="1" applyFont="1" applyBorder="1" applyAlignment="1" applyProtection="1">
      <alignment horizontal="center" vertical="center" wrapText="1"/>
    </xf>
    <xf numFmtId="0" fontId="11" fillId="0" borderId="7" xfId="0" applyFont="1" applyFill="1" applyBorder="1" applyAlignment="1" applyProtection="1">
      <alignment horizontal="center" vertical="center" wrapText="1"/>
    </xf>
    <xf numFmtId="0" fontId="11" fillId="0" borderId="28" xfId="0" applyFont="1" applyFill="1" applyBorder="1" applyAlignment="1" applyProtection="1">
      <alignment horizontal="center" vertical="center" wrapText="1"/>
    </xf>
    <xf numFmtId="0" fontId="11" fillId="0" borderId="25" xfId="0" applyFont="1" applyFill="1" applyBorder="1" applyAlignment="1" applyProtection="1">
      <alignment horizontal="center" vertical="center" wrapText="1"/>
    </xf>
    <xf numFmtId="0" fontId="11" fillId="0" borderId="26" xfId="0" applyFont="1" applyFill="1" applyBorder="1" applyAlignment="1" applyProtection="1">
      <alignment horizontal="center" vertical="center" wrapText="1"/>
    </xf>
    <xf numFmtId="0" fontId="11" fillId="0" borderId="18" xfId="0" applyFont="1" applyFill="1" applyBorder="1" applyAlignment="1" applyProtection="1">
      <alignment horizontal="center" vertical="center" wrapText="1"/>
    </xf>
    <xf numFmtId="0" fontId="11" fillId="0" borderId="27" xfId="0" applyFont="1" applyFill="1" applyBorder="1" applyAlignment="1" applyProtection="1">
      <alignment horizontal="center" vertical="center" wrapText="1"/>
    </xf>
    <xf numFmtId="0" fontId="0" fillId="0" borderId="25" xfId="0" applyFill="1" applyBorder="1" applyAlignment="1" applyProtection="1">
      <alignment horizontal="center" vertical="center" wrapText="1"/>
    </xf>
    <xf numFmtId="0" fontId="0" fillId="0" borderId="27" xfId="0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left" vertical="center" wrapText="1"/>
    </xf>
    <xf numFmtId="0" fontId="6" fillId="0" borderId="19" xfId="0" applyFont="1" applyFill="1" applyBorder="1" applyAlignment="1" applyProtection="1">
      <alignment horizontal="left" vertical="center" wrapText="1"/>
    </xf>
    <xf numFmtId="0" fontId="6" fillId="0" borderId="20" xfId="0" applyFont="1" applyFill="1" applyBorder="1" applyAlignment="1" applyProtection="1">
      <alignment horizontal="left" vertical="center" wrapText="1"/>
    </xf>
    <xf numFmtId="14" fontId="4" fillId="0" borderId="20" xfId="0" applyNumberFormat="1" applyFont="1" applyFill="1" applyBorder="1" applyAlignment="1" applyProtection="1">
      <alignment vertical="center" wrapText="1"/>
      <protection locked="0"/>
    </xf>
    <xf numFmtId="0" fontId="6" fillId="0" borderId="1" xfId="0" applyFont="1" applyFill="1" applyBorder="1" applyAlignment="1" applyProtection="1">
      <alignment vertical="center" wrapText="1"/>
    </xf>
    <xf numFmtId="0" fontId="0" fillId="0" borderId="1" xfId="0" applyFill="1" applyBorder="1" applyAlignment="1">
      <alignment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0" xfId="0" applyNumberFormat="1" applyFont="1" applyFill="1" applyBorder="1" applyAlignment="1" applyProtection="1">
      <alignment vertical="center" wrapText="1"/>
      <protection locked="0"/>
    </xf>
    <xf numFmtId="0" fontId="6" fillId="0" borderId="0" xfId="0" applyFont="1" applyFill="1" applyAlignment="1">
      <alignment vertical="center" wrapText="1"/>
    </xf>
    <xf numFmtId="0" fontId="0" fillId="0" borderId="40" xfId="0" applyBorder="1" applyAlignment="1">
      <alignment vertical="center" wrapText="1"/>
    </xf>
    <xf numFmtId="0" fontId="4" fillId="8" borderId="2" xfId="0" applyFont="1" applyFill="1" applyBorder="1" applyAlignment="1" applyProtection="1">
      <alignment horizontal="center" vertical="center"/>
      <protection locked="0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3" fillId="0" borderId="15" xfId="0" applyFont="1" applyFill="1" applyBorder="1" applyAlignment="1" applyProtection="1">
      <alignment vertical="center"/>
    </xf>
    <xf numFmtId="0" fontId="10" fillId="0" borderId="0" xfId="0" applyFont="1" applyFill="1" applyBorder="1" applyAlignment="1" applyProtection="1">
      <alignment vertical="center"/>
    </xf>
    <xf numFmtId="0" fontId="12" fillId="0" borderId="1" xfId="0" applyFont="1" applyFill="1" applyBorder="1" applyAlignment="1" applyProtection="1">
      <alignment vertical="center" wrapText="1"/>
    </xf>
    <xf numFmtId="0" fontId="30" fillId="0" borderId="1" xfId="0" applyFont="1" applyFill="1" applyBorder="1" applyAlignment="1" applyProtection="1">
      <alignment horizontal="left" vertical="center" wrapText="1"/>
    </xf>
    <xf numFmtId="0" fontId="0" fillId="0" borderId="1" xfId="0" applyBorder="1" applyAlignment="1" applyProtection="1">
      <alignment horizontal="left" vertical="center" wrapText="1"/>
    </xf>
    <xf numFmtId="0" fontId="0" fillId="0" borderId="1" xfId="0" applyBorder="1" applyAlignment="1">
      <alignment horizontal="left" vertical="center"/>
    </xf>
    <xf numFmtId="0" fontId="30" fillId="0" borderId="1" xfId="0" applyFont="1" applyFill="1" applyBorder="1" applyAlignment="1" applyProtection="1">
      <alignment vertical="center" wrapText="1"/>
    </xf>
    <xf numFmtId="0" fontId="0" fillId="0" borderId="1" xfId="0" applyBorder="1" applyAlignment="1" applyProtection="1">
      <alignment vertical="center" wrapText="1"/>
    </xf>
    <xf numFmtId="0" fontId="0" fillId="0" borderId="1" xfId="0" applyBorder="1" applyAlignment="1">
      <alignment vertical="center"/>
    </xf>
    <xf numFmtId="0" fontId="4" fillId="0" borderId="1" xfId="0" applyFont="1" applyBorder="1" applyAlignment="1" applyProtection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30" fillId="0" borderId="2" xfId="0" applyFont="1" applyFill="1" applyBorder="1" applyAlignment="1" applyProtection="1">
      <alignment horizontal="left" vertical="center" wrapText="1"/>
    </xf>
    <xf numFmtId="0" fontId="0" fillId="0" borderId="19" xfId="0" applyBorder="1" applyAlignment="1" applyProtection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49" fontId="10" fillId="8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</xf>
    <xf numFmtId="165" fontId="10" fillId="8" borderId="1" xfId="0" applyNumberFormat="1" applyFont="1" applyFill="1" applyBorder="1" applyAlignment="1" applyProtection="1">
      <alignment horizontal="center" vertical="center" wrapText="1"/>
      <protection locked="0"/>
    </xf>
    <xf numFmtId="49" fontId="14" fillId="8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center" vertical="center" wrapText="1"/>
    </xf>
    <xf numFmtId="0" fontId="13" fillId="0" borderId="16" xfId="0" applyFont="1" applyFill="1" applyBorder="1" applyAlignment="1" applyProtection="1">
      <alignment vertical="center"/>
    </xf>
    <xf numFmtId="0" fontId="5" fillId="0" borderId="7" xfId="0" applyFont="1" applyFill="1" applyBorder="1" applyAlignment="1" applyProtection="1">
      <alignment vertical="center" wrapText="1"/>
    </xf>
    <xf numFmtId="0" fontId="5" fillId="0" borderId="28" xfId="0" applyFont="1" applyFill="1" applyBorder="1" applyAlignment="1" applyProtection="1">
      <alignment vertical="center" wrapText="1"/>
    </xf>
    <xf numFmtId="0" fontId="5" fillId="0" borderId="25" xfId="0" applyFont="1" applyFill="1" applyBorder="1" applyAlignment="1" applyProtection="1">
      <alignment vertical="center" wrapText="1"/>
    </xf>
    <xf numFmtId="0" fontId="5" fillId="0" borderId="26" xfId="0" applyFont="1" applyFill="1" applyBorder="1" applyAlignment="1" applyProtection="1">
      <alignment vertical="center" wrapText="1"/>
    </xf>
    <xf numFmtId="0" fontId="5" fillId="0" borderId="18" xfId="0" applyFont="1" applyFill="1" applyBorder="1" applyAlignment="1" applyProtection="1">
      <alignment vertical="center" wrapText="1"/>
    </xf>
    <xf numFmtId="0" fontId="5" fillId="0" borderId="27" xfId="0" applyFont="1" applyFill="1" applyBorder="1" applyAlignment="1" applyProtection="1">
      <alignment vertical="center" wrapText="1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19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vertical="center" wrapText="1"/>
    </xf>
    <xf numFmtId="0" fontId="12" fillId="0" borderId="19" xfId="0" applyFont="1" applyFill="1" applyBorder="1" applyAlignment="1" applyProtection="1">
      <alignment vertical="center" wrapText="1"/>
    </xf>
    <xf numFmtId="49" fontId="11" fillId="0" borderId="26" xfId="2" applyNumberFormat="1" applyFont="1" applyBorder="1" applyAlignment="1" applyProtection="1">
      <alignment horizontal="center" vertical="center" wrapText="1"/>
    </xf>
    <xf numFmtId="49" fontId="11" fillId="0" borderId="18" xfId="2" applyNumberFormat="1" applyFont="1" applyBorder="1" applyAlignment="1" applyProtection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11" fillId="0" borderId="6" xfId="0" applyFont="1" applyFill="1" applyBorder="1" applyAlignment="1" applyProtection="1">
      <alignment horizontal="center" vertical="center" wrapText="1"/>
    </xf>
    <xf numFmtId="0" fontId="11" fillId="0" borderId="8" xfId="0" applyFont="1" applyFill="1" applyBorder="1" applyAlignment="1" applyProtection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28" fillId="0" borderId="29" xfId="0" applyFont="1" applyFill="1" applyBorder="1" applyAlignment="1" applyProtection="1">
      <alignment horizontal="center" vertical="center" wrapText="1"/>
    </xf>
    <xf numFmtId="0" fontId="28" fillId="0" borderId="30" xfId="0" applyFont="1" applyFill="1" applyBorder="1" applyAlignment="1" applyProtection="1">
      <alignment horizontal="center" vertical="center" wrapText="1"/>
    </xf>
    <xf numFmtId="0" fontId="29" fillId="0" borderId="30" xfId="0" applyFont="1" applyBorder="1" applyAlignment="1">
      <alignment horizontal="center" vertical="center" wrapText="1"/>
    </xf>
    <xf numFmtId="0" fontId="29" fillId="0" borderId="31" xfId="0" applyFont="1" applyBorder="1" applyAlignment="1">
      <alignment horizontal="center" vertical="center" wrapText="1"/>
    </xf>
    <xf numFmtId="0" fontId="12" fillId="0" borderId="7" xfId="0" applyFont="1" applyFill="1" applyBorder="1" applyAlignment="1" applyProtection="1">
      <alignment horizontal="center" vertical="center" wrapText="1"/>
    </xf>
    <xf numFmtId="0" fontId="12" fillId="0" borderId="28" xfId="0" applyFont="1" applyFill="1" applyBorder="1" applyAlignment="1" applyProtection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12" fillId="0" borderId="9" xfId="0" applyFont="1" applyFill="1" applyBorder="1" applyAlignment="1" applyProtection="1">
      <alignment horizontal="center" vertical="center" wrapText="1"/>
    </xf>
    <xf numFmtId="0" fontId="12" fillId="0" borderId="0" xfId="0" applyFont="1" applyFill="1" applyBorder="1" applyAlignment="1" applyProtection="1">
      <alignment horizontal="center" vertical="center" wrapText="1"/>
    </xf>
    <xf numFmtId="0" fontId="11" fillId="0" borderId="9" xfId="2" applyNumberFormat="1" applyFont="1" applyBorder="1" applyAlignment="1" applyProtection="1">
      <alignment horizontal="center" vertical="center" wrapText="1"/>
    </xf>
    <xf numFmtId="0" fontId="11" fillId="0" borderId="0" xfId="2" applyNumberFormat="1" applyFont="1" applyBorder="1" applyAlignment="1" applyProtection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5" fillId="0" borderId="25" xfId="0" applyFont="1" applyFill="1" applyBorder="1" applyAlignment="1" applyProtection="1">
      <alignment horizontal="center" vertical="center" wrapText="1"/>
    </xf>
    <xf numFmtId="0" fontId="5" fillId="0" borderId="27" xfId="0" applyFont="1" applyFill="1" applyBorder="1" applyAlignment="1" applyProtection="1">
      <alignment horizontal="center" vertical="center" wrapText="1"/>
    </xf>
    <xf numFmtId="0" fontId="6" fillId="0" borderId="0" xfId="0" applyFont="1" applyFill="1" applyAlignment="1">
      <alignment vertical="center"/>
    </xf>
    <xf numFmtId="0" fontId="0" fillId="0" borderId="0" xfId="0" applyAlignment="1"/>
    <xf numFmtId="0" fontId="0" fillId="0" borderId="40" xfId="0" applyBorder="1" applyAlignment="1"/>
    <xf numFmtId="0" fontId="0" fillId="0" borderId="0" xfId="0" applyAlignment="1">
      <alignment wrapText="1"/>
    </xf>
    <xf numFmtId="0" fontId="0" fillId="0" borderId="40" xfId="0" applyBorder="1" applyAlignment="1">
      <alignment wrapText="1"/>
    </xf>
    <xf numFmtId="0" fontId="6" fillId="0" borderId="0" xfId="0" applyFont="1" applyFill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Border="1" applyAlignment="1" applyProtection="1">
      <alignment horizontal="center" vertical="center" wrapText="1"/>
    </xf>
    <xf numFmtId="0" fontId="0" fillId="0" borderId="20" xfId="0" applyBorder="1" applyAlignment="1">
      <alignment horizontal="left" vertical="center"/>
    </xf>
    <xf numFmtId="0" fontId="4" fillId="6" borderId="2" xfId="0" applyFont="1" applyFill="1" applyBorder="1" applyAlignment="1">
      <alignment horizontal="center" vertical="center" wrapText="1"/>
    </xf>
    <xf numFmtId="49" fontId="10" fillId="10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9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1" fillId="8" borderId="1" xfId="0" applyFont="1" applyFill="1" applyBorder="1" applyAlignment="1" applyProtection="1">
      <alignment horizontal="center" vertical="center" wrapText="1"/>
    </xf>
    <xf numFmtId="0" fontId="4" fillId="10" borderId="2" xfId="0" applyFont="1" applyFill="1" applyBorder="1" applyAlignment="1" applyProtection="1">
      <alignment horizontal="left" vertical="center" wrapText="1"/>
    </xf>
    <xf numFmtId="0" fontId="4" fillId="10" borderId="19" xfId="0" applyFont="1" applyFill="1" applyBorder="1" applyAlignment="1" applyProtection="1">
      <alignment horizontal="left" vertical="center" wrapText="1"/>
    </xf>
    <xf numFmtId="0" fontId="3" fillId="0" borderId="2" xfId="0" applyFont="1" applyFill="1" applyBorder="1" applyAlignment="1">
      <alignment vertical="center" wrapText="1"/>
    </xf>
  </cellXfs>
  <cellStyles count="6">
    <cellStyle name="Normálna" xfId="0" builtinId="0"/>
    <cellStyle name="Normálna 2" xfId="4"/>
    <cellStyle name="Normálna 3" xfId="3"/>
    <cellStyle name="Normálna 4" xfId="5"/>
    <cellStyle name="normálne_Hárok1" xfId="1"/>
    <cellStyle name="normálne_Ziadatel" xfId="2"/>
  </cellStyles>
  <dxfs count="14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0" indent="0" justifyLastLine="0" shrinkToFit="0" readingOrder="0"/>
      <protection locked="1" hidden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  <protection locked="1" hidden="0"/>
    </dxf>
    <dxf>
      <font>
        <color theme="0"/>
      </font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protection locked="1" hidden="0"/>
    </dxf>
    <dxf>
      <border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  <protection locked="1" hidden="0"/>
    </dxf>
    <dxf>
      <font>
        <color theme="0"/>
      </font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>
          <bgColor theme="9" tint="0.79998168889431442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8"/>
        <color auto="1"/>
        <name val="Arial"/>
        <scheme val="none"/>
      </font>
      <numFmt numFmtId="164" formatCode="#,##0.00\ [$€-1]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0" tint="-4.9989318521683403E-2"/>
        </patternFill>
      </fill>
      <alignment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alignment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numFmt numFmtId="19" formatCode="dd/mm/yy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numFmt numFmtId="19" formatCode="dd/mm/yyyy"/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  <protection locked="0" hidden="0"/>
    </dxf>
    <dxf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auto="1"/>
        </top>
        <bottom style="thin">
          <color auto="1"/>
        </bottom>
      </border>
      <protection locked="0" hidden="0"/>
    </dxf>
    <dxf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0" tint="-4.9989318521683403E-2"/>
        </patternFill>
      </fill>
      <alignment vertical="center" textRotation="0" wrapText="1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alignment vertical="center" textRotation="0" wrapText="1" indent="0" justifyLastLine="0" shrinkToFit="0" readingOrder="0"/>
    </dxf>
    <dxf>
      <border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CCCCFF"/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721</xdr:row>
      <xdr:rowOff>303143</xdr:rowOff>
    </xdr:from>
    <xdr:to>
      <xdr:col>13</xdr:col>
      <xdr:colOff>0</xdr:colOff>
      <xdr:row>727</xdr:row>
      <xdr:rowOff>145774</xdr:rowOff>
    </xdr:to>
    <xdr:sp macro="" textlink="" fLocksText="0">
      <xdr:nvSpPr>
        <xdr:cNvPr id="5" name="Description_Activity4"/>
        <xdr:cNvSpPr txBox="1">
          <a:spLocks noChangeArrowheads="1"/>
        </xdr:cNvSpPr>
      </xdr:nvSpPr>
      <xdr:spPr bwMode="auto">
        <a:xfrm>
          <a:off x="356152" y="91494665"/>
          <a:ext cx="7065065" cy="894522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Stručne popíšte priebeh realizácie aktivity, aktuálny pokrok v porovnaní s plánovaným pokrokom.</a:t>
          </a:r>
        </a:p>
      </xdr:txBody>
    </xdr:sp>
    <xdr:clientData/>
  </xdr:twoCellAnchor>
  <xdr:twoCellAnchor>
    <xdr:from>
      <xdr:col>2</xdr:col>
      <xdr:colOff>0</xdr:colOff>
      <xdr:row>714</xdr:row>
      <xdr:rowOff>0</xdr:rowOff>
    </xdr:from>
    <xdr:to>
      <xdr:col>13</xdr:col>
      <xdr:colOff>0</xdr:colOff>
      <xdr:row>720</xdr:row>
      <xdr:rowOff>0</xdr:rowOff>
    </xdr:to>
    <xdr:sp macro="" textlink="" fLocksText="0">
      <xdr:nvSpPr>
        <xdr:cNvPr id="84" name="Description_Activity3"/>
        <xdr:cNvSpPr txBox="1">
          <a:spLocks noChangeArrowheads="1"/>
        </xdr:cNvSpPr>
      </xdr:nvSpPr>
      <xdr:spPr bwMode="auto">
        <a:xfrm>
          <a:off x="356152" y="90214174"/>
          <a:ext cx="7065065" cy="894522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Stručne popíšte priebeh realizácie aktivity, aktuálny pokrok v porovnaní s plánovaným pokrokom.</a:t>
          </a:r>
        </a:p>
      </xdr:txBody>
    </xdr:sp>
    <xdr:clientData/>
  </xdr:twoCellAnchor>
  <xdr:twoCellAnchor>
    <xdr:from>
      <xdr:col>2</xdr:col>
      <xdr:colOff>0</xdr:colOff>
      <xdr:row>706</xdr:row>
      <xdr:rowOff>0</xdr:rowOff>
    </xdr:from>
    <xdr:to>
      <xdr:col>13</xdr:col>
      <xdr:colOff>0</xdr:colOff>
      <xdr:row>712</xdr:row>
      <xdr:rowOff>1</xdr:rowOff>
    </xdr:to>
    <xdr:sp macro="" textlink="" fLocksText="0">
      <xdr:nvSpPr>
        <xdr:cNvPr id="85" name="Description_Activity2"/>
        <xdr:cNvSpPr txBox="1">
          <a:spLocks noChangeArrowheads="1"/>
        </xdr:cNvSpPr>
      </xdr:nvSpPr>
      <xdr:spPr bwMode="auto">
        <a:xfrm>
          <a:off x="356152" y="88930370"/>
          <a:ext cx="7065065" cy="894522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Stručne popíšte priebeh realizácie aktivity, aktuálny pokrok v porovnaní s plánovaným pokrokom.</a:t>
          </a:r>
        </a:p>
      </xdr:txBody>
    </xdr:sp>
    <xdr:clientData/>
  </xdr:twoCellAnchor>
  <xdr:twoCellAnchor>
    <xdr:from>
      <xdr:col>2</xdr:col>
      <xdr:colOff>0</xdr:colOff>
      <xdr:row>698</xdr:row>
      <xdr:rowOff>0</xdr:rowOff>
    </xdr:from>
    <xdr:to>
      <xdr:col>13</xdr:col>
      <xdr:colOff>0</xdr:colOff>
      <xdr:row>704</xdr:row>
      <xdr:rowOff>0</xdr:rowOff>
    </xdr:to>
    <xdr:sp macro="" textlink="" fLocksText="0">
      <xdr:nvSpPr>
        <xdr:cNvPr id="86" name="Description_Activity1"/>
        <xdr:cNvSpPr txBox="1">
          <a:spLocks noChangeArrowheads="1"/>
        </xdr:cNvSpPr>
      </xdr:nvSpPr>
      <xdr:spPr bwMode="auto">
        <a:xfrm>
          <a:off x="356152" y="87646565"/>
          <a:ext cx="7065065" cy="894522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Stručne popíšte priebeh realizácie aktivity, aktuálny pokrok v porovnaní s plánovaným pokrokom.</a:t>
          </a:r>
        </a:p>
      </xdr:txBody>
    </xdr:sp>
    <xdr:clientData/>
  </xdr:twoCellAnchor>
  <xdr:twoCellAnchor>
    <xdr:from>
      <xdr:col>2</xdr:col>
      <xdr:colOff>0</xdr:colOff>
      <xdr:row>730</xdr:row>
      <xdr:rowOff>0</xdr:rowOff>
    </xdr:from>
    <xdr:to>
      <xdr:col>13</xdr:col>
      <xdr:colOff>0</xdr:colOff>
      <xdr:row>736</xdr:row>
      <xdr:rowOff>1</xdr:rowOff>
    </xdr:to>
    <xdr:sp macro="" textlink="" fLocksText="0">
      <xdr:nvSpPr>
        <xdr:cNvPr id="87" name="Description_Activity5"/>
        <xdr:cNvSpPr txBox="1">
          <a:spLocks noChangeArrowheads="1"/>
        </xdr:cNvSpPr>
      </xdr:nvSpPr>
      <xdr:spPr bwMode="auto">
        <a:xfrm>
          <a:off x="356152" y="92781783"/>
          <a:ext cx="7065065" cy="894522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Stručne popíšte priebeh realizácie aktivity, aktuálny pokrok v porovnaní s plánovaným pokrokom.</a:t>
          </a:r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13</xdr:col>
      <xdr:colOff>0</xdr:colOff>
      <xdr:row>744</xdr:row>
      <xdr:rowOff>0</xdr:rowOff>
    </xdr:to>
    <xdr:sp macro="" textlink="" fLocksText="0">
      <xdr:nvSpPr>
        <xdr:cNvPr id="88" name="Description_Activity6"/>
        <xdr:cNvSpPr txBox="1">
          <a:spLocks noChangeArrowheads="1"/>
        </xdr:cNvSpPr>
      </xdr:nvSpPr>
      <xdr:spPr bwMode="auto">
        <a:xfrm>
          <a:off x="356152" y="94065587"/>
          <a:ext cx="7065065" cy="894522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Stručne popíšte priebeh realizácie aktivity, aktuálny pokrok v porovnaní s plánovaným pokrokom.</a:t>
          </a:r>
        </a:p>
      </xdr:txBody>
    </xdr:sp>
    <xdr:clientData/>
  </xdr:twoCellAnchor>
  <xdr:twoCellAnchor>
    <xdr:from>
      <xdr:col>2</xdr:col>
      <xdr:colOff>0</xdr:colOff>
      <xdr:row>746</xdr:row>
      <xdr:rowOff>0</xdr:rowOff>
    </xdr:from>
    <xdr:to>
      <xdr:col>13</xdr:col>
      <xdr:colOff>0</xdr:colOff>
      <xdr:row>752</xdr:row>
      <xdr:rowOff>0</xdr:rowOff>
    </xdr:to>
    <xdr:sp macro="" textlink="" fLocksText="0">
      <xdr:nvSpPr>
        <xdr:cNvPr id="89" name="Description_Activity7"/>
        <xdr:cNvSpPr txBox="1">
          <a:spLocks noChangeArrowheads="1"/>
        </xdr:cNvSpPr>
      </xdr:nvSpPr>
      <xdr:spPr bwMode="auto">
        <a:xfrm>
          <a:off x="356152" y="95349391"/>
          <a:ext cx="7065065" cy="894522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sk-SK" sz="8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Stručne popíšte priebeh realizácie aktivity, aktuálny pokrok v porovnaní s plánovaným pokrokom.</a:t>
          </a:r>
        </a:p>
      </xdr:txBody>
    </xdr:sp>
    <xdr:clientData/>
  </xdr:twoCellAnchor>
  <xdr:twoCellAnchor>
    <xdr:from>
      <xdr:col>2</xdr:col>
      <xdr:colOff>0</xdr:colOff>
      <xdr:row>754</xdr:row>
      <xdr:rowOff>0</xdr:rowOff>
    </xdr:from>
    <xdr:to>
      <xdr:col>13</xdr:col>
      <xdr:colOff>0</xdr:colOff>
      <xdr:row>760</xdr:row>
      <xdr:rowOff>0</xdr:rowOff>
    </xdr:to>
    <xdr:sp macro="" textlink="" fLocksText="0">
      <xdr:nvSpPr>
        <xdr:cNvPr id="90" name="Description_Activity8"/>
        <xdr:cNvSpPr txBox="1">
          <a:spLocks noChangeArrowheads="1"/>
        </xdr:cNvSpPr>
      </xdr:nvSpPr>
      <xdr:spPr bwMode="auto">
        <a:xfrm>
          <a:off x="356152" y="96633196"/>
          <a:ext cx="7065065" cy="894521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Stručne popíšte priebeh realizácie aktivity, aktuálny pokrok v porovnaní s plánovaným pokrokom.</a:t>
          </a:r>
        </a:p>
      </xdr:txBody>
    </xdr:sp>
    <xdr:clientData/>
  </xdr:twoCellAnchor>
  <xdr:twoCellAnchor>
    <xdr:from>
      <xdr:col>2</xdr:col>
      <xdr:colOff>0</xdr:colOff>
      <xdr:row>849</xdr:row>
      <xdr:rowOff>0</xdr:rowOff>
    </xdr:from>
    <xdr:to>
      <xdr:col>13</xdr:col>
      <xdr:colOff>0</xdr:colOff>
      <xdr:row>867</xdr:row>
      <xdr:rowOff>0</xdr:rowOff>
    </xdr:to>
    <xdr:sp macro="" textlink="" fLocksText="0">
      <xdr:nvSpPr>
        <xdr:cNvPr id="6" name="txt_risk_remarks"/>
        <xdr:cNvSpPr txBox="1">
          <a:spLocks noChangeArrowheads="1"/>
        </xdr:cNvSpPr>
      </xdr:nvSpPr>
      <xdr:spPr bwMode="auto">
        <a:xfrm>
          <a:off x="356152" y="112552370"/>
          <a:ext cx="7860196" cy="1490869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V prípade potreby uveďte ďalšie poznámky k rizikám strednej, ale najmä vysokej závažnosti</a:t>
          </a:r>
        </a:p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.</a:t>
          </a:r>
          <a:r>
            <a:rPr lang="sk-SK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Uveďe tiež vyhodnotenie naplnenia rizík predpokladaných v žiadosti o projekt!</a:t>
          </a:r>
          <a:endParaRPr lang="sk-SK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2</xdr:col>
      <xdr:colOff>0</xdr:colOff>
      <xdr:row>1042</xdr:row>
      <xdr:rowOff>0</xdr:rowOff>
    </xdr:from>
    <xdr:to>
      <xdr:col>11</xdr:col>
      <xdr:colOff>0</xdr:colOff>
      <xdr:row>1047</xdr:row>
      <xdr:rowOff>0</xdr:rowOff>
    </xdr:to>
    <xdr:sp macro="" textlink="">
      <xdr:nvSpPr>
        <xdr:cNvPr id="10" name="txt_sustainability_funding"/>
        <xdr:cNvSpPr txBox="1">
          <a:spLocks noChangeArrowheads="1"/>
        </xdr:cNvSpPr>
      </xdr:nvSpPr>
      <xdr:spPr bwMode="auto">
        <a:xfrm>
          <a:off x="361950" y="268243050"/>
          <a:ext cx="7096125" cy="1238250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Bližšie opíšte zdroje financovania udržateľnosti projektu. </a:t>
          </a:r>
        </a:p>
      </xdr:txBody>
    </xdr:sp>
    <xdr:clientData/>
  </xdr:twoCellAnchor>
  <xdr:twoCellAnchor>
    <xdr:from>
      <xdr:col>2</xdr:col>
      <xdr:colOff>0</xdr:colOff>
      <xdr:row>1055</xdr:row>
      <xdr:rowOff>0</xdr:rowOff>
    </xdr:from>
    <xdr:to>
      <xdr:col>13</xdr:col>
      <xdr:colOff>0</xdr:colOff>
      <xdr:row>1072</xdr:row>
      <xdr:rowOff>0</xdr:rowOff>
    </xdr:to>
    <xdr:sp macro="" textlink="" fLocksText="0">
      <xdr:nvSpPr>
        <xdr:cNvPr id="11" name="txt_final_summary"/>
        <xdr:cNvSpPr txBox="1">
          <a:spLocks noChangeArrowheads="1"/>
        </xdr:cNvSpPr>
      </xdr:nvSpPr>
      <xdr:spPr bwMode="auto">
        <a:xfrm>
          <a:off x="356152" y="274543630"/>
          <a:ext cx="7065065" cy="2534479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Vlastnými slovami opíšte celkový výsledok projektu, Vašu spokojnosť s jeho realizáciou.</a:t>
          </a:r>
        </a:p>
      </xdr:txBody>
    </xdr:sp>
    <xdr:clientData/>
  </xdr:twoCellAnchor>
  <xdr:twoCellAnchor>
    <xdr:from>
      <xdr:col>2</xdr:col>
      <xdr:colOff>0</xdr:colOff>
      <xdr:row>1075</xdr:row>
      <xdr:rowOff>0</xdr:rowOff>
    </xdr:from>
    <xdr:to>
      <xdr:col>13</xdr:col>
      <xdr:colOff>0</xdr:colOff>
      <xdr:row>1086</xdr:row>
      <xdr:rowOff>0</xdr:rowOff>
    </xdr:to>
    <xdr:sp macro="" textlink="" fLocksText="0">
      <xdr:nvSpPr>
        <xdr:cNvPr id="13" name="txt_recommendations_for_future"/>
        <xdr:cNvSpPr txBox="1">
          <a:spLocks noChangeArrowheads="1"/>
        </xdr:cNvSpPr>
      </xdr:nvSpPr>
      <xdr:spPr bwMode="auto">
        <a:xfrm>
          <a:off x="356152" y="277657891"/>
          <a:ext cx="7065065" cy="1639957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Uveďte odporúčania pri realizácii obdobných projektov v budúcnosti, ako aj dôležité poznatky, ktoré ste nadobudli pri implementácii projektu.</a:t>
          </a:r>
        </a:p>
      </xdr:txBody>
    </xdr:sp>
    <xdr:clientData/>
  </xdr:twoCellAnchor>
  <xdr:twoCellAnchor>
    <xdr:from>
      <xdr:col>1</xdr:col>
      <xdr:colOff>275895</xdr:colOff>
      <xdr:row>1096</xdr:row>
      <xdr:rowOff>0</xdr:rowOff>
    </xdr:from>
    <xdr:to>
      <xdr:col>12</xdr:col>
      <xdr:colOff>656896</xdr:colOff>
      <xdr:row>1110</xdr:row>
      <xdr:rowOff>0</xdr:rowOff>
    </xdr:to>
    <xdr:sp macro="" textlink="" fLocksText="0">
      <xdr:nvSpPr>
        <xdr:cNvPr id="16" name="txt_satisfaction_administration"/>
        <xdr:cNvSpPr txBox="1">
          <a:spLocks noChangeArrowheads="1"/>
        </xdr:cNvSpPr>
      </xdr:nvSpPr>
      <xdr:spPr bwMode="auto">
        <a:xfrm>
          <a:off x="361292" y="179510121"/>
          <a:ext cx="7882759" cy="2115207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Uveďte a bližšie špecifikujte odporúčania pre správcu programu. </a:t>
          </a:r>
        </a:p>
      </xdr:txBody>
    </xdr:sp>
    <xdr:clientData/>
  </xdr:twoCellAnchor>
  <xdr:twoCellAnchor>
    <xdr:from>
      <xdr:col>2</xdr:col>
      <xdr:colOff>0</xdr:colOff>
      <xdr:row>1139</xdr:row>
      <xdr:rowOff>0</xdr:rowOff>
    </xdr:from>
    <xdr:to>
      <xdr:col>13</xdr:col>
      <xdr:colOff>0</xdr:colOff>
      <xdr:row>1154</xdr:row>
      <xdr:rowOff>0</xdr:rowOff>
    </xdr:to>
    <xdr:sp macro="" textlink="" fLocksText="0">
      <xdr:nvSpPr>
        <xdr:cNvPr id="18" name="txt_annexes_justification"/>
        <xdr:cNvSpPr txBox="1">
          <a:spLocks noChangeArrowheads="1"/>
        </xdr:cNvSpPr>
      </xdr:nvSpPr>
      <xdr:spPr bwMode="auto">
        <a:xfrm>
          <a:off x="356152" y="292980717"/>
          <a:ext cx="7065065" cy="2236305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Uveďte, prečo nepredkladáte niektorú z príloh, ktoré sú povinné a uveďte prípadne ďalšie prílohy, ktoré predkladáte ako nepovinné. </a:t>
          </a:r>
        </a:p>
        <a:p>
          <a:pPr algn="l" rtl="0">
            <a:defRPr sz="1000"/>
          </a:pPr>
          <a:endParaRPr lang="sk-SK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id="1" name="tab_invoices" displayName="tab_invoices" ref="A9:S311" totalsRowShown="0" headerRowDxfId="136" dataDxfId="134" headerRowBorderDxfId="135" tableBorderDxfId="133" totalsRowBorderDxfId="132">
  <autoFilter ref="A9:S311"/>
  <tableColumns count="19">
    <tableColumn id="1" name="P.č." dataDxfId="131">
      <calculatedColumnFormula>ROW(B10)-9</calculatedColumnFormula>
    </tableColumn>
    <tableColumn id="3" name="Číslo  dokladu" dataDxfId="130" totalsRowDxfId="129"/>
    <tableColumn id="4" name="Účel výdavku" dataDxfId="128" totalsRowDxfId="127"/>
    <tableColumn id="5" name="Účet MD" dataDxfId="126" totalsRowDxfId="125"/>
    <tableColumn id="6" name="Účet Dal" dataDxfId="124"/>
    <tableColumn id="7" name="Druh dokladu" dataDxfId="123"/>
    <tableColumn id="8" name="Dátum dodania" dataDxfId="122"/>
    <tableColumn id="9" name="Dátum úhrady" dataDxfId="121"/>
    <tableColumn id="11" name="Množstvo" dataDxfId="120"/>
    <tableColumn id="12" name="Náklady na jednotku" dataDxfId="119"/>
    <tableColumn id="15" name="Nárokovaná suma" dataDxfId="118">
      <calculatedColumnFormula>tab_invoices[[#This Row],[Množstvo]]*tab_invoices[[#This Row],[Náklady na jednotku]]</calculatedColumnFormula>
    </tableColumn>
    <tableColumn id="27" name="#" dataDxfId="117"/>
    <tableColumn id="17" name="Rozpočtová položka" dataDxfId="116">
      <calculatedColumnFormula>IF(ISBLANK(tab_invoices[[#This Row],['#]]),"",VLOOKUP(tab_invoices[[#This Row],['#]],tab_budget[['#]:[Rozpočtová položka]],2,FALSE))</calculatedColumnFormula>
    </tableColumn>
    <tableColumn id="2" name="Typ výdavku" dataDxfId="115">
      <calculatedColumnFormula>IF(ISBLANK(tab_invoices[[#This Row],['#]]),"",VLOOKUP(tab_invoices[[#This Row],['#]],tab_budget[['#]:[Typ výdavku]],7,FALSE))</calculatedColumnFormula>
    </tableColumn>
    <tableColumn id="10" name="Aktivita" dataDxfId="114">
      <calculatedColumnFormula>IF(ISBLANK(tab_invoices[[#This Row],['#]]),"",VLOOKUP(tab_invoices[[#This Row],['#]],tab_budget[['#]:[Aktivita]],8,FALSE))</calculatedColumnFormula>
    </tableColumn>
    <tableColumn id="16" name="Rozpočtová kapitola" dataDxfId="113">
      <calculatedColumnFormula>IF(ISBLANK(tab_invoices[[#This Row],['#]]),"",VLOOKUP(tab_invoices[[#This Row],['#]],tab_budget[['#]:[Rozpočtová kapitola]],9,FALSE))</calculatedColumnFormula>
    </tableColumn>
    <tableColumn id="13" name="Realizuje" dataDxfId="112">
      <calculatedColumnFormula>IF(ISBLANK(tab_invoices[[#This Row],['#]]),"",VLOOKUP(tab_invoices[[#This Row],['#]],tab_budget[['#]:[Realizuje]],10,FALSE))</calculatedColumnFormula>
    </tableColumn>
    <tableColumn id="14" name="Neoprávnené výdavky" dataDxfId="111"/>
    <tableColumn id="18" name="Komentár správcu programu" dataDxfId="110"/>
  </tableColumns>
  <tableStyleInfo name="TableStyleLight1" showFirstColumn="0" showLastColumn="0" showRowStripes="0" showColumnStripes="0"/>
</table>
</file>

<file path=xl/tables/table2.xml><?xml version="1.0" encoding="utf-8"?>
<table xmlns="http://schemas.openxmlformats.org/spreadsheetml/2006/main" id="2" name="tab_budget" displayName="tab_budget" ref="A1:AB100" totalsRowShown="0" headerRowDxfId="103" dataDxfId="101" headerRowBorderDxfId="102" tableBorderDxfId="100" totalsRowBorderDxfId="99" headerRowCellStyle="Normálna 3">
  <autoFilter ref="A1:AB100"/>
  <tableColumns count="28">
    <tableColumn id="1" name="#" dataDxfId="98"/>
    <tableColumn id="2" name="Rozpočtová položka" dataDxfId="97"/>
    <tableColumn id="3" name="Jednotka" dataDxfId="96"/>
    <tableColumn id="4" name="Množstvo" dataDxfId="95"/>
    <tableColumn id="5" name="Náklady na jednotku" dataDxfId="94"/>
    <tableColumn id="6" name="Celková suma" dataDxfId="93"/>
    <tableColumn id="7" name="Typ výdavku" dataDxfId="92"/>
    <tableColumn id="8" name="Aktivita" dataDxfId="91"/>
    <tableColumn id="9" name="Rozpočtová kapitola" dataDxfId="90"/>
    <tableColumn id="10" name="Realizuje" dataDxfId="89"/>
    <tableColumn id="11" name="Poznámky" dataDxfId="88"/>
    <tableColumn id="13" name="PSP1" dataDxfId="87"/>
    <tableColumn id="14" name="PSP2" dataDxfId="86"/>
    <tableColumn id="15" name="PSP3" dataDxfId="85"/>
    <tableColumn id="16" name="PSP4" dataDxfId="84"/>
    <tableColumn id="17" name="PSP5" dataDxfId="83"/>
    <tableColumn id="18" name="PSP6" dataDxfId="82"/>
    <tableColumn id="19" name="PSP7" dataDxfId="81"/>
    <tableColumn id="20" name="PSP8" dataDxfId="80"/>
    <tableColumn id="21" name="PSP9" dataDxfId="79"/>
    <tableColumn id="22" name="PSP10" dataDxfId="78"/>
    <tableColumn id="27" name="PSP11" dataDxfId="77"/>
    <tableColumn id="28" name="PSP12" dataDxfId="76"/>
    <tableColumn id="26" name="Medzisúčet" dataDxfId="75">
      <calculatedColumnFormula>SUM(tab_budget[[#This Row],[Poznámky]:[PSP12]])</calculatedColumnFormula>
    </tableColumn>
    <tableColumn id="12" name="Aktuálna PSP" dataDxfId="74"/>
    <tableColumn id="23" name="Čerpanie" dataDxfId="73">
      <calculatedColumnFormula>tab_budget[[#This Row],[Medzisúčet]]+tab_budget[[#This Row],[Aktuálna PSP]]</calculatedColumnFormula>
    </tableColumn>
    <tableColumn id="24" name="%" dataDxfId="72">
      <calculatedColumnFormula>IF(tab_budget[[#This Row],[Celková suma]]&gt;0,ROUND(tab_budget[[#This Row],[Čerpanie]]/tab_budget[[#This Row],[Celková suma]],2),0)</calculatedColumnFormula>
    </tableColumn>
    <tableColumn id="25" name="Zostatok" dataDxfId="71"/>
  </tableColumns>
  <tableStyleInfo name="TableStyleMedium2" showFirstColumn="0" showLastColumn="0" showRowStripes="0" showColumnStripes="0"/>
</table>
</file>

<file path=xl/tables/table3.xml><?xml version="1.0" encoding="utf-8"?>
<table xmlns="http://schemas.openxmlformats.org/spreadsheetml/2006/main" id="4" name="tab_distribution" displayName="tab_distribution" ref="A1:AA100" totalsRowShown="0" headerRowDxfId="42" dataDxfId="40" headerRowBorderDxfId="41" tableBorderDxfId="39" headerRowCellStyle="Normálna 3">
  <autoFilter ref="A1:AA100"/>
  <tableColumns count="27">
    <tableColumn id="1" name="#" dataDxfId="38"/>
    <tableColumn id="2" name="Aktivita" dataDxfId="37"/>
    <tableColumn id="13" name="Plán Prijímateľ" dataDxfId="36"/>
    <tableColumn id="12" name="Plán Partner1" dataDxfId="35"/>
    <tableColumn id="11" name="Plán Partner2" dataDxfId="34"/>
    <tableColumn id="10" name="Plán Partner3" dataDxfId="33"/>
    <tableColumn id="9" name="Plán Partner4" dataDxfId="32"/>
    <tableColumn id="14" name="Plán Spolu" dataDxfId="31"/>
    <tableColumn id="3" name="Skutočnosť Prijímateľ" dataDxfId="30"/>
    <tableColumn id="4" name="Skutočnosť Partner1" dataDxfId="29"/>
    <tableColumn id="5" name="Skutočnosť Partner2" dataDxfId="28"/>
    <tableColumn id="6" name="Skutočnosť Partner3" dataDxfId="27"/>
    <tableColumn id="8" name="Skutočnosť Partner4" dataDxfId="26"/>
    <tableColumn id="23" name="Skutočnosť Spolu" dataDxfId="25"/>
    <tableColumn id="22" name="Aktuálna PSP Prijímateľ" dataDxfId="24"/>
    <tableColumn id="21" name="Aktuálna PSP Partner1" dataDxfId="23"/>
    <tableColumn id="20" name="Aktuálna PSP Partner2" dataDxfId="22"/>
    <tableColumn id="19" name="Aktuálna PSP Partner3" dataDxfId="21"/>
    <tableColumn id="18" name="Aktuálna PSP Partner4" dataDxfId="20"/>
    <tableColumn id="17" name="Aktuálna PSP Spolu" dataDxfId="19"/>
    <tableColumn id="16" name="Zostatok Prijímateľ" dataDxfId="18"/>
    <tableColumn id="26" name="Zostatok Partner1" dataDxfId="17"/>
    <tableColumn id="25" name="Zostatok Partner2" dataDxfId="16"/>
    <tableColumn id="24" name="Zostatok Partner3" dataDxfId="15"/>
    <tableColumn id="15" name="Zostatok Partner4" dataDxfId="14"/>
    <tableColumn id="7" name="Zostatok Spolu" dataDxfId="13"/>
    <tableColumn id="27" name="Zostatok v %" dataDxfId="12"/>
  </tableColumns>
  <tableStyleInfo name="TableStyleMedium2" showFirstColumn="0" showLastColumn="0" showRowStripes="0" showColumnStripes="0"/>
</table>
</file>

<file path=xl/tables/table4.xml><?xml version="1.0" encoding="utf-8"?>
<table xmlns="http://schemas.openxmlformats.org/spreadsheetml/2006/main" id="3" name="tab_in_kind" displayName="tab_in_kind" ref="A10:G30" totalsRowShown="0" headerRowDxfId="11" dataDxfId="9" headerRowBorderDxfId="10" tableBorderDxfId="8" totalsRowBorderDxfId="7">
  <autoFilter ref="A10:G30"/>
  <tableColumns count="7">
    <tableColumn id="1" name="Meno dobrovoľníka" dataDxfId="6"/>
    <tableColumn id="2" name="Popis vykonávanej činnosti" dataDxfId="5"/>
    <tableColumn id="5" name="Dobrovoľník pracuje pre" dataDxfId="4"/>
    <tableColumn id="7" name="Číslo zmluvy" dataDxfId="3"/>
    <tableColumn id="8" name="Mesiac" dataDxfId="2"/>
    <tableColumn id="9" name="Počet hodín" dataDxfId="1"/>
    <tableColumn id="11" name="SPOLU" dataDxfId="0">
      <calculatedColumnFormula>tab_in_kind[[#This Row],[Počet hodín]]*in_kind_rate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/>
  <dimension ref="A1:R1211"/>
  <sheetViews>
    <sheetView showGridLines="0" tabSelected="1" view="pageBreakPreview" zoomScale="115" zoomScaleNormal="100" zoomScaleSheetLayoutView="115" workbookViewId="0">
      <selection activeCell="C5" sqref="C5:M5"/>
    </sheetView>
  </sheetViews>
  <sheetFormatPr defaultColWidth="9.109375" defaultRowHeight="11.4" outlineLevelRow="1" x14ac:dyDescent="0.25"/>
  <cols>
    <col min="1" max="1" width="1.33203125" style="7" customWidth="1"/>
    <col min="2" max="2" width="4.109375" style="34" customWidth="1"/>
    <col min="3" max="12" width="10.88671875" style="7" customWidth="1"/>
    <col min="13" max="13" width="9.88671875" style="7" customWidth="1"/>
    <col min="14" max="15" width="1.33203125" style="7" customWidth="1"/>
    <col min="16" max="24" width="8" style="7" customWidth="1"/>
    <col min="25" max="16384" width="9.109375" style="7"/>
  </cols>
  <sheetData>
    <row r="1" spans="1:18" ht="4.5" customHeight="1" thickBot="1" x14ac:dyDescent="0.3"/>
    <row r="2" spans="1:18" s="35" customFormat="1" ht="6.75" customHeight="1" x14ac:dyDescent="0.25">
      <c r="B2" s="36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8"/>
    </row>
    <row r="3" spans="1:18" s="28" customFormat="1" ht="12" customHeight="1" x14ac:dyDescent="0.25">
      <c r="A3" s="27"/>
      <c r="B3" s="94"/>
      <c r="C3" s="29" t="str">
        <f>IF(project_code="","",CONCATENATE(project_code," - PSP",report_number))</f>
        <v/>
      </c>
      <c r="D3" s="30"/>
      <c r="E3" s="30"/>
      <c r="F3" s="30"/>
      <c r="G3" s="30"/>
      <c r="H3" s="30"/>
      <c r="I3" s="30"/>
      <c r="J3" s="30"/>
      <c r="K3" s="30"/>
      <c r="L3" s="397" t="s">
        <v>743</v>
      </c>
      <c r="M3" s="398">
        <v>1</v>
      </c>
      <c r="N3" s="31"/>
    </row>
    <row r="4" spans="1:18" s="9" customFormat="1" ht="12" customHeight="1" thickBot="1" x14ac:dyDescent="0.3">
      <c r="B4" s="95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40"/>
    </row>
    <row r="5" spans="1:18" s="6" customFormat="1" ht="30" customHeight="1" thickBot="1" x14ac:dyDescent="0.3">
      <c r="B5" s="41"/>
      <c r="C5" s="618" t="s">
        <v>174</v>
      </c>
      <c r="D5" s="619"/>
      <c r="E5" s="619"/>
      <c r="F5" s="619"/>
      <c r="G5" s="619"/>
      <c r="H5" s="619"/>
      <c r="I5" s="619"/>
      <c r="J5" s="619"/>
      <c r="K5" s="619"/>
      <c r="L5" s="620"/>
      <c r="M5" s="621"/>
      <c r="N5" s="42"/>
      <c r="R5" s="7"/>
    </row>
    <row r="6" spans="1:18" s="35" customFormat="1" ht="6.75" customHeight="1" x14ac:dyDescent="0.25">
      <c r="B6" s="43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5"/>
    </row>
    <row r="7" spans="1:18" s="6" customFormat="1" ht="30" customHeight="1" x14ac:dyDescent="0.25">
      <c r="B7" s="41"/>
      <c r="C7" s="580" t="s">
        <v>175</v>
      </c>
      <c r="D7" s="580"/>
      <c r="E7" s="46"/>
      <c r="F7" s="489"/>
      <c r="G7" s="480"/>
      <c r="H7" s="480"/>
      <c r="I7" s="480"/>
      <c r="J7" s="480"/>
      <c r="K7" s="480"/>
      <c r="L7" s="480"/>
      <c r="M7" s="462"/>
      <c r="N7" s="42"/>
      <c r="R7" s="7"/>
    </row>
    <row r="8" spans="1:18" s="35" customFormat="1" ht="6.75" customHeight="1" x14ac:dyDescent="0.25">
      <c r="B8" s="43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5"/>
    </row>
    <row r="9" spans="1:18" s="6" customFormat="1" ht="30" customHeight="1" x14ac:dyDescent="0.25">
      <c r="B9" s="41"/>
      <c r="C9" s="580" t="s">
        <v>176</v>
      </c>
      <c r="D9" s="580"/>
      <c r="E9" s="46"/>
      <c r="F9" s="489"/>
      <c r="G9" s="480"/>
      <c r="H9" s="480"/>
      <c r="I9" s="480"/>
      <c r="J9" s="480"/>
      <c r="K9" s="480"/>
      <c r="L9" s="480"/>
      <c r="M9" s="462"/>
      <c r="N9" s="42"/>
    </row>
    <row r="10" spans="1:18" s="35" customFormat="1" ht="6.75" customHeight="1" x14ac:dyDescent="0.25">
      <c r="B10" s="43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5"/>
    </row>
    <row r="11" spans="1:18" s="6" customFormat="1" ht="30" customHeight="1" x14ac:dyDescent="0.25">
      <c r="B11" s="41"/>
      <c r="C11" s="580" t="s">
        <v>177</v>
      </c>
      <c r="D11" s="580"/>
      <c r="E11" s="46"/>
      <c r="F11" s="147"/>
      <c r="G11" s="164"/>
      <c r="H11" s="156"/>
      <c r="I11" s="156"/>
      <c r="J11" s="156"/>
      <c r="K11" s="156"/>
      <c r="L11" s="156"/>
      <c r="M11" s="156"/>
      <c r="N11" s="42"/>
    </row>
    <row r="12" spans="1:18" s="35" customFormat="1" ht="6.75" customHeight="1" x14ac:dyDescent="0.25">
      <c r="B12" s="43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5"/>
    </row>
    <row r="13" spans="1:18" s="6" customFormat="1" ht="30" customHeight="1" x14ac:dyDescent="0.25">
      <c r="B13" s="41"/>
      <c r="C13" s="580" t="s">
        <v>178</v>
      </c>
      <c r="D13" s="580"/>
      <c r="E13" s="46"/>
      <c r="F13" s="147"/>
      <c r="G13" s="164"/>
      <c r="H13" s="156"/>
      <c r="I13" s="156"/>
      <c r="J13" s="156"/>
      <c r="K13" s="156"/>
      <c r="L13" s="156"/>
      <c r="M13" s="156"/>
      <c r="N13" s="42"/>
    </row>
    <row r="14" spans="1:18" s="35" customFormat="1" ht="6.75" customHeight="1" x14ac:dyDescent="0.25">
      <c r="B14" s="43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5"/>
    </row>
    <row r="15" spans="1:18" s="6" customFormat="1" ht="30" customHeight="1" x14ac:dyDescent="0.25">
      <c r="B15" s="41"/>
      <c r="C15" s="580" t="s">
        <v>423</v>
      </c>
      <c r="D15" s="580"/>
      <c r="E15" s="46"/>
      <c r="F15" s="434" t="str">
        <f>IF(COUNTIF(K58:K63,"&gt;0")=0,"ZP","PP"&amp;COUNTIF(K58:K63,"&gt;0"))</f>
        <v>ZP</v>
      </c>
      <c r="G15" s="156"/>
      <c r="H15" s="156"/>
      <c r="I15" s="156"/>
      <c r="J15" s="156"/>
      <c r="K15" s="156"/>
      <c r="L15" s="156"/>
      <c r="M15" s="156"/>
      <c r="N15" s="42"/>
    </row>
    <row r="16" spans="1:18" s="35" customFormat="1" ht="6.75" customHeight="1" x14ac:dyDescent="0.25">
      <c r="B16" s="43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5"/>
    </row>
    <row r="17" spans="2:14" ht="23.25" customHeight="1" x14ac:dyDescent="0.25">
      <c r="B17" s="103"/>
      <c r="C17" s="580" t="s">
        <v>179</v>
      </c>
      <c r="D17" s="580"/>
      <c r="E17" s="110"/>
      <c r="F17" s="199" t="s">
        <v>166</v>
      </c>
      <c r="G17" s="200"/>
      <c r="H17" s="20"/>
      <c r="I17" s="47"/>
      <c r="J17" s="199" t="s">
        <v>167</v>
      </c>
      <c r="K17" s="200"/>
      <c r="L17" s="152"/>
      <c r="M17" s="152"/>
      <c r="N17" s="48"/>
    </row>
    <row r="18" spans="2:14" ht="23.25" customHeight="1" x14ac:dyDescent="0.25">
      <c r="B18" s="103"/>
      <c r="C18" s="580"/>
      <c r="D18" s="580"/>
      <c r="E18" s="49"/>
      <c r="F18" s="412"/>
      <c r="G18" s="302"/>
      <c r="H18" s="20"/>
      <c r="I18" s="47"/>
      <c r="J18" s="412"/>
      <c r="K18" s="302"/>
      <c r="L18" s="49"/>
      <c r="M18" s="49"/>
      <c r="N18" s="48"/>
    </row>
    <row r="19" spans="2:14" s="35" customFormat="1" ht="6.75" customHeight="1" x14ac:dyDescent="0.25">
      <c r="B19" s="43"/>
      <c r="C19" s="44"/>
      <c r="D19" s="44"/>
      <c r="E19" s="117"/>
      <c r="F19" s="44"/>
      <c r="G19" s="44"/>
      <c r="H19" s="44"/>
      <c r="I19" s="44"/>
      <c r="J19" s="44"/>
      <c r="K19" s="44"/>
      <c r="L19" s="44"/>
      <c r="M19" s="44"/>
      <c r="N19" s="45"/>
    </row>
    <row r="20" spans="2:14" s="6" customFormat="1" ht="30" customHeight="1" x14ac:dyDescent="0.25">
      <c r="B20" s="41"/>
      <c r="C20" s="580" t="s">
        <v>424</v>
      </c>
      <c r="D20" s="580"/>
      <c r="E20" s="50"/>
      <c r="F20" s="489"/>
      <c r="G20" s="480"/>
      <c r="H20" s="480"/>
      <c r="I20" s="480"/>
      <c r="J20" s="480"/>
      <c r="K20" s="480"/>
      <c r="L20" s="480"/>
      <c r="M20" s="462"/>
      <c r="N20" s="42"/>
    </row>
    <row r="21" spans="2:14" s="35" customFormat="1" ht="6.75" customHeight="1" x14ac:dyDescent="0.25">
      <c r="B21" s="43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5"/>
    </row>
    <row r="22" spans="2:14" s="6" customFormat="1" ht="30" customHeight="1" x14ac:dyDescent="0.25">
      <c r="B22" s="41"/>
      <c r="C22" s="580" t="s">
        <v>371</v>
      </c>
      <c r="D22" s="580"/>
      <c r="E22" s="50"/>
      <c r="F22" s="489"/>
      <c r="G22" s="480"/>
      <c r="H22" s="480"/>
      <c r="I22" s="480"/>
      <c r="J22" s="480"/>
      <c r="K22" s="480"/>
      <c r="L22" s="480"/>
      <c r="M22" s="462"/>
      <c r="N22" s="42"/>
    </row>
    <row r="23" spans="2:14" s="35" customFormat="1" ht="6.75" customHeight="1" x14ac:dyDescent="0.25">
      <c r="B23" s="43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5"/>
    </row>
    <row r="24" spans="2:14" s="6" customFormat="1" ht="30" customHeight="1" x14ac:dyDescent="0.25">
      <c r="B24" s="41"/>
      <c r="C24" s="580" t="s">
        <v>181</v>
      </c>
      <c r="D24" s="580"/>
      <c r="E24" s="46"/>
      <c r="F24" s="147"/>
      <c r="G24" s="156"/>
      <c r="H24" s="156"/>
      <c r="I24" s="156"/>
      <c r="J24" s="156"/>
      <c r="K24" s="156"/>
      <c r="L24" s="156"/>
      <c r="M24" s="156"/>
      <c r="N24" s="42"/>
    </row>
    <row r="25" spans="2:14" s="35" customFormat="1" ht="6.75" customHeight="1" x14ac:dyDescent="0.25">
      <c r="B25" s="43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5"/>
    </row>
    <row r="26" spans="2:14" s="6" customFormat="1" ht="30" customHeight="1" x14ac:dyDescent="0.25">
      <c r="B26" s="41"/>
      <c r="C26" s="489" t="s">
        <v>180</v>
      </c>
      <c r="D26" s="490"/>
      <c r="E26" s="46"/>
      <c r="F26" s="144"/>
      <c r="G26" s="145"/>
      <c r="H26" s="145"/>
      <c r="I26" s="145"/>
      <c r="J26" s="145"/>
      <c r="K26" s="145"/>
      <c r="L26" s="197"/>
      <c r="M26" s="151"/>
      <c r="N26" s="42"/>
    </row>
    <row r="27" spans="2:14" s="35" customFormat="1" ht="6.75" customHeight="1" x14ac:dyDescent="0.25">
      <c r="B27" s="43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5"/>
    </row>
    <row r="28" spans="2:14" s="6" customFormat="1" ht="30" customHeight="1" x14ac:dyDescent="0.25">
      <c r="B28" s="41"/>
      <c r="C28" s="489" t="s">
        <v>300</v>
      </c>
      <c r="D28" s="490"/>
      <c r="E28" s="46"/>
      <c r="F28" s="144"/>
      <c r="G28" s="145"/>
      <c r="H28" s="145"/>
      <c r="I28" s="145"/>
      <c r="J28" s="145"/>
      <c r="K28" s="145"/>
      <c r="L28" s="197"/>
      <c r="M28" s="151"/>
      <c r="N28" s="42"/>
    </row>
    <row r="29" spans="2:14" s="35" customFormat="1" ht="6.75" customHeight="1" x14ac:dyDescent="0.25">
      <c r="B29" s="43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5"/>
    </row>
    <row r="30" spans="2:14" s="6" customFormat="1" ht="30" customHeight="1" x14ac:dyDescent="0.25">
      <c r="B30" s="41"/>
      <c r="C30" s="489" t="s">
        <v>269</v>
      </c>
      <c r="D30" s="490"/>
      <c r="E30" s="51"/>
      <c r="F30" s="147"/>
      <c r="G30" s="156"/>
      <c r="H30" s="156"/>
      <c r="I30" s="489" t="s">
        <v>554</v>
      </c>
      <c r="J30" s="490"/>
      <c r="K30" s="156"/>
      <c r="L30" s="314">
        <f>grant_requested_total/total_eligible_expenditure_total</f>
        <v>1</v>
      </c>
      <c r="M30" s="156"/>
      <c r="N30" s="42"/>
    </row>
    <row r="31" spans="2:14" s="35" customFormat="1" ht="6.75" customHeight="1" x14ac:dyDescent="0.25">
      <c r="B31" s="43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5"/>
    </row>
    <row r="32" spans="2:14" s="6" customFormat="1" ht="30" customHeight="1" x14ac:dyDescent="0.25">
      <c r="B32" s="41"/>
      <c r="C32" s="489" t="s">
        <v>270</v>
      </c>
      <c r="D32" s="490"/>
      <c r="E32" s="51"/>
      <c r="F32" s="147"/>
      <c r="G32" s="156"/>
      <c r="H32" s="156"/>
      <c r="I32" s="489" t="s">
        <v>741</v>
      </c>
      <c r="J32" s="490"/>
      <c r="K32" s="156"/>
      <c r="L32" s="368"/>
      <c r="M32" s="156"/>
      <c r="N32" s="42"/>
    </row>
    <row r="33" spans="2:14" s="35" customFormat="1" ht="6.75" customHeight="1" thickBot="1" x14ac:dyDescent="0.3">
      <c r="B33" s="52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4"/>
    </row>
    <row r="34" spans="2:14" ht="4.5" customHeight="1" x14ac:dyDescent="0.25"/>
    <row r="35" spans="2:14" ht="4.5" customHeight="1" thickBot="1" x14ac:dyDescent="0.3"/>
    <row r="36" spans="2:14" s="35" customFormat="1" ht="6.75" customHeight="1" thickBot="1" x14ac:dyDescent="0.3">
      <c r="B36" s="36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8"/>
    </row>
    <row r="37" spans="2:14" s="6" customFormat="1" ht="30" customHeight="1" thickBot="1" x14ac:dyDescent="0.3">
      <c r="B37" s="41" t="s">
        <v>118</v>
      </c>
      <c r="C37" s="165" t="s">
        <v>237</v>
      </c>
      <c r="D37" s="166"/>
      <c r="E37" s="166"/>
      <c r="F37" s="166"/>
      <c r="G37" s="166"/>
      <c r="H37" s="166"/>
      <c r="I37" s="166"/>
      <c r="J37" s="166"/>
      <c r="K37" s="166"/>
      <c r="L37" s="166"/>
      <c r="M37" s="167"/>
      <c r="N37" s="42"/>
    </row>
    <row r="38" spans="2:14" x14ac:dyDescent="0.25">
      <c r="B38" s="103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48"/>
    </row>
    <row r="39" spans="2:14" ht="24" customHeight="1" x14ac:dyDescent="0.25">
      <c r="B39" s="103"/>
      <c r="C39" s="491"/>
      <c r="D39" s="492"/>
      <c r="E39" s="493"/>
      <c r="F39" s="55" t="s">
        <v>182</v>
      </c>
      <c r="G39" s="55" t="s">
        <v>183</v>
      </c>
      <c r="H39" s="55" t="s">
        <v>184</v>
      </c>
      <c r="I39" s="55" t="s">
        <v>185</v>
      </c>
      <c r="J39" s="55" t="s">
        <v>186</v>
      </c>
      <c r="K39" s="56" t="s">
        <v>144</v>
      </c>
      <c r="L39" s="86"/>
      <c r="M39" s="86"/>
      <c r="N39" s="57"/>
    </row>
    <row r="40" spans="2:14" ht="24" customHeight="1" x14ac:dyDescent="0.25">
      <c r="B40" s="103" t="s">
        <v>187</v>
      </c>
      <c r="C40" s="201" t="s">
        <v>372</v>
      </c>
      <c r="D40" s="202"/>
      <c r="E40" s="203"/>
      <c r="F40" s="65"/>
      <c r="G40" s="65"/>
      <c r="H40" s="65"/>
      <c r="I40" s="65"/>
      <c r="J40" s="65">
        <v>1</v>
      </c>
      <c r="K40" s="65">
        <f>SUM(F40:J40)</f>
        <v>1</v>
      </c>
      <c r="L40" s="157"/>
      <c r="M40" s="157"/>
      <c r="N40" s="57"/>
    </row>
    <row r="41" spans="2:14" ht="24" customHeight="1" x14ac:dyDescent="0.25">
      <c r="B41" s="103" t="s">
        <v>188</v>
      </c>
      <c r="C41" s="201" t="s">
        <v>373</v>
      </c>
      <c r="D41" s="202"/>
      <c r="E41" s="203"/>
      <c r="F41" s="65"/>
      <c r="G41" s="65"/>
      <c r="H41" s="65"/>
      <c r="I41" s="65"/>
      <c r="J41" s="65"/>
      <c r="K41" s="65">
        <f>SUM(F41:J41)</f>
        <v>0</v>
      </c>
      <c r="L41" s="157"/>
      <c r="M41" s="157"/>
      <c r="N41" s="57"/>
    </row>
    <row r="42" spans="2:14" ht="24" customHeight="1" x14ac:dyDescent="0.25">
      <c r="B42" s="149" t="s">
        <v>189</v>
      </c>
      <c r="C42" s="201" t="s">
        <v>374</v>
      </c>
      <c r="D42" s="202"/>
      <c r="E42" s="203"/>
      <c r="F42" s="65"/>
      <c r="G42" s="65"/>
      <c r="H42" s="65"/>
      <c r="I42" s="65"/>
      <c r="J42" s="65"/>
      <c r="K42" s="65"/>
      <c r="L42" s="157"/>
      <c r="M42" s="157"/>
      <c r="N42" s="57"/>
    </row>
    <row r="43" spans="2:14" ht="24" customHeight="1" x14ac:dyDescent="0.25">
      <c r="B43" s="149" t="s">
        <v>190</v>
      </c>
      <c r="C43" s="201" t="s">
        <v>375</v>
      </c>
      <c r="D43" s="202"/>
      <c r="E43" s="203"/>
      <c r="F43" s="65"/>
      <c r="G43" s="65"/>
      <c r="H43" s="65"/>
      <c r="I43" s="65"/>
      <c r="J43" s="65"/>
      <c r="K43" s="65">
        <f t="shared" ref="K43:K46" si="0">SUM(F43:J43)</f>
        <v>0</v>
      </c>
      <c r="L43" s="157"/>
      <c r="M43" s="157"/>
      <c r="N43" s="57"/>
    </row>
    <row r="44" spans="2:14" ht="24" customHeight="1" x14ac:dyDescent="0.25">
      <c r="B44" s="149" t="s">
        <v>349</v>
      </c>
      <c r="C44" s="201" t="s">
        <v>376</v>
      </c>
      <c r="D44" s="202"/>
      <c r="E44" s="203"/>
      <c r="F44" s="65"/>
      <c r="G44" s="65"/>
      <c r="H44" s="65"/>
      <c r="I44" s="65"/>
      <c r="J44" s="65"/>
      <c r="K44" s="65">
        <f t="shared" si="0"/>
        <v>0</v>
      </c>
      <c r="L44" s="157"/>
      <c r="M44" s="157"/>
      <c r="N44" s="57"/>
    </row>
    <row r="45" spans="2:14" ht="24" customHeight="1" x14ac:dyDescent="0.25">
      <c r="B45" s="149" t="s">
        <v>380</v>
      </c>
      <c r="C45" s="201" t="s">
        <v>377</v>
      </c>
      <c r="D45" s="202"/>
      <c r="E45" s="203"/>
      <c r="F45" s="65"/>
      <c r="G45" s="65"/>
      <c r="H45" s="65"/>
      <c r="I45" s="65"/>
      <c r="J45" s="65"/>
      <c r="K45" s="65">
        <f t="shared" si="0"/>
        <v>0</v>
      </c>
      <c r="L45" s="157"/>
      <c r="M45" s="157"/>
      <c r="N45" s="57"/>
    </row>
    <row r="46" spans="2:14" ht="24" customHeight="1" x14ac:dyDescent="0.25">
      <c r="B46" s="149" t="s">
        <v>381</v>
      </c>
      <c r="C46" s="201" t="s">
        <v>570</v>
      </c>
      <c r="D46" s="202"/>
      <c r="E46" s="203"/>
      <c r="F46" s="65"/>
      <c r="G46" s="65"/>
      <c r="H46" s="65"/>
      <c r="I46" s="65"/>
      <c r="J46" s="65">
        <v>1</v>
      </c>
      <c r="K46" s="65">
        <f t="shared" si="0"/>
        <v>1</v>
      </c>
      <c r="L46" s="157"/>
      <c r="M46" s="157"/>
      <c r="N46" s="57"/>
    </row>
    <row r="47" spans="2:14" ht="24" customHeight="1" x14ac:dyDescent="0.25">
      <c r="B47" s="149" t="s">
        <v>382</v>
      </c>
      <c r="C47" s="201" t="s">
        <v>378</v>
      </c>
      <c r="D47" s="202"/>
      <c r="E47" s="203"/>
      <c r="F47" s="65"/>
      <c r="G47" s="65"/>
      <c r="H47" s="65"/>
      <c r="I47" s="65"/>
      <c r="J47" s="65"/>
      <c r="K47" s="65">
        <f>direct_costs_total+indirect_costs_total+reserve_total</f>
        <v>1</v>
      </c>
      <c r="L47" s="157"/>
      <c r="M47" s="157"/>
      <c r="N47" s="57"/>
    </row>
    <row r="48" spans="2:14" ht="24" customHeight="1" x14ac:dyDescent="0.25">
      <c r="B48" s="149" t="s">
        <v>383</v>
      </c>
      <c r="C48" s="201" t="s">
        <v>379</v>
      </c>
      <c r="D48" s="202"/>
      <c r="E48" s="203"/>
      <c r="F48" s="65"/>
      <c r="G48" s="65"/>
      <c r="H48" s="65"/>
      <c r="I48" s="65"/>
      <c r="J48" s="65"/>
      <c r="K48" s="65">
        <f>total_eligible_cash_expenditure_total+in_kind_total</f>
        <v>1</v>
      </c>
      <c r="L48" s="157"/>
      <c r="M48" s="157"/>
      <c r="N48" s="57"/>
    </row>
    <row r="49" spans="2:15" ht="6.75" customHeight="1" thickBot="1" x14ac:dyDescent="0.3">
      <c r="B49" s="58"/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60"/>
    </row>
    <row r="50" spans="2:15" ht="4.5" customHeight="1" x14ac:dyDescent="0.25"/>
    <row r="51" spans="2:15" ht="4.5" customHeight="1" thickBot="1" x14ac:dyDescent="0.3"/>
    <row r="52" spans="2:15" s="35" customFormat="1" ht="6.75" customHeight="1" thickBot="1" x14ac:dyDescent="0.3">
      <c r="B52" s="36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8"/>
    </row>
    <row r="53" spans="2:15" s="6" customFormat="1" ht="30" customHeight="1" thickBot="1" x14ac:dyDescent="0.3">
      <c r="B53" s="41" t="s">
        <v>119</v>
      </c>
      <c r="C53" s="165" t="s">
        <v>536</v>
      </c>
      <c r="D53" s="166"/>
      <c r="E53" s="166"/>
      <c r="F53" s="166"/>
      <c r="G53" s="166"/>
      <c r="H53" s="166"/>
      <c r="I53" s="166"/>
      <c r="J53" s="166"/>
      <c r="K53" s="166"/>
      <c r="L53" s="166"/>
      <c r="M53" s="167"/>
      <c r="N53" s="42"/>
    </row>
    <row r="54" spans="2:15" x14ac:dyDescent="0.25">
      <c r="B54" s="103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48"/>
    </row>
    <row r="55" spans="2:15" ht="24" customHeight="1" x14ac:dyDescent="0.25">
      <c r="B55" s="103"/>
      <c r="C55" s="491"/>
      <c r="D55" s="492"/>
      <c r="E55" s="493"/>
      <c r="F55" s="55" t="s">
        <v>182</v>
      </c>
      <c r="G55" s="55" t="s">
        <v>183</v>
      </c>
      <c r="H55" s="55" t="s">
        <v>184</v>
      </c>
      <c r="I55" s="55" t="s">
        <v>185</v>
      </c>
      <c r="J55" s="55" t="s">
        <v>186</v>
      </c>
      <c r="K55" s="56" t="s">
        <v>144</v>
      </c>
      <c r="L55" s="86"/>
      <c r="M55" s="86"/>
      <c r="N55" s="57"/>
    </row>
    <row r="56" spans="2:15" ht="24" customHeight="1" x14ac:dyDescent="0.25">
      <c r="B56" s="61" t="s">
        <v>195</v>
      </c>
      <c r="C56" s="508" t="s">
        <v>301</v>
      </c>
      <c r="D56" s="509"/>
      <c r="E56" s="114" t="s">
        <v>345</v>
      </c>
      <c r="F56" s="62">
        <f>SUM(F57:F68)</f>
        <v>0</v>
      </c>
      <c r="G56" s="62">
        <f t="shared" ref="G56:J56" si="1">SUM(G57:G68)</f>
        <v>0</v>
      </c>
      <c r="H56" s="62">
        <f t="shared" si="1"/>
        <v>0</v>
      </c>
      <c r="I56" s="62">
        <f t="shared" si="1"/>
        <v>0</v>
      </c>
      <c r="J56" s="62">
        <f t="shared" si="1"/>
        <v>0</v>
      </c>
      <c r="K56" s="62">
        <f t="shared" ref="K56" si="2">SUM(F56:J56)</f>
        <v>0</v>
      </c>
      <c r="L56" s="158"/>
      <c r="M56" s="158"/>
      <c r="N56" s="63"/>
      <c r="O56" s="64"/>
    </row>
    <row r="57" spans="2:15" ht="12" customHeight="1" x14ac:dyDescent="0.25">
      <c r="B57" s="103" t="s">
        <v>196</v>
      </c>
      <c r="C57" s="194" t="s">
        <v>425</v>
      </c>
      <c r="D57" s="433"/>
      <c r="E57" s="113"/>
      <c r="F57" s="65"/>
      <c r="G57" s="65"/>
      <c r="H57" s="65"/>
      <c r="I57" s="65"/>
      <c r="J57" s="65"/>
      <c r="K57" s="65">
        <f>SUM(F57:J57)</f>
        <v>0</v>
      </c>
      <c r="L57" s="193"/>
      <c r="M57" s="193"/>
      <c r="N57" s="63"/>
      <c r="O57" s="64"/>
    </row>
    <row r="58" spans="2:15" ht="12" customHeight="1" x14ac:dyDescent="0.25">
      <c r="B58" s="103" t="s">
        <v>197</v>
      </c>
      <c r="C58" s="194" t="s">
        <v>426</v>
      </c>
      <c r="D58" s="433"/>
      <c r="E58" s="113"/>
      <c r="F58" s="65"/>
      <c r="G58" s="65"/>
      <c r="H58" s="65"/>
      <c r="I58" s="65"/>
      <c r="J58" s="65"/>
      <c r="K58" s="65">
        <f t="shared" ref="K58:K79" si="3">SUM(F58:J58)</f>
        <v>0</v>
      </c>
      <c r="L58" s="193"/>
      <c r="M58" s="193"/>
      <c r="N58" s="63"/>
      <c r="O58" s="64"/>
    </row>
    <row r="59" spans="2:15" ht="12" customHeight="1" x14ac:dyDescent="0.25">
      <c r="B59" s="103" t="s">
        <v>198</v>
      </c>
      <c r="C59" s="194" t="s">
        <v>427</v>
      </c>
      <c r="D59" s="433"/>
      <c r="E59" s="113"/>
      <c r="F59" s="65"/>
      <c r="G59" s="65"/>
      <c r="H59" s="65"/>
      <c r="I59" s="65"/>
      <c r="J59" s="65"/>
      <c r="K59" s="65">
        <f t="shared" si="3"/>
        <v>0</v>
      </c>
      <c r="L59" s="193"/>
      <c r="M59" s="193"/>
      <c r="N59" s="63"/>
      <c r="O59" s="64"/>
    </row>
    <row r="60" spans="2:15" ht="12" customHeight="1" x14ac:dyDescent="0.25">
      <c r="B60" s="103" t="s">
        <v>199</v>
      </c>
      <c r="C60" s="194" t="s">
        <v>428</v>
      </c>
      <c r="D60" s="433"/>
      <c r="E60" s="113"/>
      <c r="F60" s="65"/>
      <c r="G60" s="65"/>
      <c r="H60" s="65"/>
      <c r="I60" s="65"/>
      <c r="J60" s="65"/>
      <c r="K60" s="65">
        <f t="shared" si="3"/>
        <v>0</v>
      </c>
      <c r="L60" s="193"/>
      <c r="M60" s="193"/>
      <c r="N60" s="63"/>
      <c r="O60" s="64"/>
    </row>
    <row r="61" spans="2:15" ht="12" customHeight="1" x14ac:dyDescent="0.25">
      <c r="B61" s="103" t="s">
        <v>200</v>
      </c>
      <c r="C61" s="194" t="s">
        <v>429</v>
      </c>
      <c r="D61" s="433"/>
      <c r="E61" s="113"/>
      <c r="F61" s="65"/>
      <c r="G61" s="65"/>
      <c r="H61" s="65"/>
      <c r="I61" s="65"/>
      <c r="J61" s="65"/>
      <c r="K61" s="65">
        <f t="shared" si="3"/>
        <v>0</v>
      </c>
      <c r="L61" s="193"/>
      <c r="M61" s="193"/>
      <c r="N61" s="63"/>
      <c r="O61" s="64"/>
    </row>
    <row r="62" spans="2:15" ht="12" customHeight="1" x14ac:dyDescent="0.25">
      <c r="B62" s="103" t="s">
        <v>201</v>
      </c>
      <c r="C62" s="194" t="s">
        <v>430</v>
      </c>
      <c r="D62" s="433"/>
      <c r="E62" s="113"/>
      <c r="F62" s="65"/>
      <c r="G62" s="65"/>
      <c r="H62" s="65"/>
      <c r="I62" s="65"/>
      <c r="J62" s="65"/>
      <c r="K62" s="65">
        <f t="shared" si="3"/>
        <v>0</v>
      </c>
      <c r="L62" s="193"/>
      <c r="M62" s="193"/>
      <c r="N62" s="63"/>
      <c r="O62" s="64"/>
    </row>
    <row r="63" spans="2:15" ht="12" customHeight="1" x14ac:dyDescent="0.25">
      <c r="B63" s="431" t="s">
        <v>202</v>
      </c>
      <c r="C63" s="194" t="s">
        <v>747</v>
      </c>
      <c r="D63" s="433"/>
      <c r="E63" s="113"/>
      <c r="F63" s="65"/>
      <c r="G63" s="65"/>
      <c r="H63" s="65"/>
      <c r="I63" s="65"/>
      <c r="J63" s="65"/>
      <c r="K63" s="65">
        <f t="shared" si="3"/>
        <v>0</v>
      </c>
      <c r="L63" s="193"/>
      <c r="M63" s="193"/>
      <c r="N63" s="63"/>
      <c r="O63" s="64"/>
    </row>
    <row r="64" spans="2:15" ht="12" customHeight="1" x14ac:dyDescent="0.25">
      <c r="B64" s="431" t="s">
        <v>203</v>
      </c>
      <c r="C64" s="194" t="s">
        <v>191</v>
      </c>
      <c r="D64" s="433"/>
      <c r="E64" s="113"/>
      <c r="F64" s="65"/>
      <c r="G64" s="65"/>
      <c r="H64" s="65"/>
      <c r="I64" s="65"/>
      <c r="J64" s="65"/>
      <c r="K64" s="65">
        <f t="shared" si="3"/>
        <v>0</v>
      </c>
      <c r="L64" s="193"/>
      <c r="M64" s="193"/>
      <c r="N64" s="63"/>
      <c r="O64" s="64"/>
    </row>
    <row r="65" spans="2:15" ht="12" customHeight="1" x14ac:dyDescent="0.25">
      <c r="B65" s="431" t="s">
        <v>204</v>
      </c>
      <c r="C65" s="194" t="s">
        <v>192</v>
      </c>
      <c r="D65" s="433"/>
      <c r="E65" s="113"/>
      <c r="F65" s="65"/>
      <c r="G65" s="65"/>
      <c r="H65" s="65"/>
      <c r="I65" s="65"/>
      <c r="J65" s="65"/>
      <c r="K65" s="65">
        <f t="shared" si="3"/>
        <v>0</v>
      </c>
      <c r="L65" s="193"/>
      <c r="M65" s="193"/>
      <c r="N65" s="63"/>
      <c r="O65" s="64"/>
    </row>
    <row r="66" spans="2:15" ht="12" customHeight="1" x14ac:dyDescent="0.25">
      <c r="B66" s="431" t="s">
        <v>205</v>
      </c>
      <c r="C66" s="194" t="s">
        <v>193</v>
      </c>
      <c r="D66" s="433"/>
      <c r="E66" s="113"/>
      <c r="F66" s="65"/>
      <c r="G66" s="65"/>
      <c r="H66" s="65"/>
      <c r="I66" s="65"/>
      <c r="J66" s="65"/>
      <c r="K66" s="65">
        <f t="shared" si="3"/>
        <v>0</v>
      </c>
      <c r="L66" s="193"/>
      <c r="M66" s="193"/>
      <c r="N66" s="63"/>
      <c r="O66" s="64"/>
    </row>
    <row r="67" spans="2:15" ht="12" customHeight="1" x14ac:dyDescent="0.25">
      <c r="B67" s="431" t="s">
        <v>334</v>
      </c>
      <c r="C67" s="194" t="s">
        <v>194</v>
      </c>
      <c r="D67" s="433"/>
      <c r="E67" s="113"/>
      <c r="F67" s="65"/>
      <c r="G67" s="65"/>
      <c r="H67" s="65"/>
      <c r="I67" s="65"/>
      <c r="J67" s="65"/>
      <c r="K67" s="65">
        <f t="shared" si="3"/>
        <v>0</v>
      </c>
      <c r="L67" s="193"/>
      <c r="M67" s="193"/>
      <c r="N67" s="63"/>
      <c r="O67" s="64"/>
    </row>
    <row r="68" spans="2:15" ht="12" customHeight="1" x14ac:dyDescent="0.25">
      <c r="B68" s="111" t="s">
        <v>746</v>
      </c>
      <c r="C68" s="194" t="s">
        <v>276</v>
      </c>
      <c r="D68" s="433"/>
      <c r="E68" s="113"/>
      <c r="F68" s="65"/>
      <c r="G68" s="65"/>
      <c r="H68" s="65"/>
      <c r="I68" s="65"/>
      <c r="J68" s="65"/>
      <c r="K68" s="65">
        <f t="shared" si="3"/>
        <v>0</v>
      </c>
      <c r="L68" s="193"/>
      <c r="M68" s="193"/>
      <c r="N68" s="63"/>
      <c r="O68" s="64"/>
    </row>
    <row r="69" spans="2:15" ht="24" customHeight="1" x14ac:dyDescent="0.25">
      <c r="B69" s="61" t="s">
        <v>303</v>
      </c>
      <c r="C69" s="508" t="s">
        <v>302</v>
      </c>
      <c r="D69" s="509"/>
      <c r="E69" s="114" t="s">
        <v>345</v>
      </c>
      <c r="F69" s="62">
        <f>SUM(F70:F79)</f>
        <v>0</v>
      </c>
      <c r="G69" s="62">
        <f t="shared" ref="G69:K69" si="4">SUM(G70:G79)</f>
        <v>0</v>
      </c>
      <c r="H69" s="62">
        <f t="shared" si="4"/>
        <v>0</v>
      </c>
      <c r="I69" s="62">
        <f t="shared" si="4"/>
        <v>0</v>
      </c>
      <c r="J69" s="62">
        <f t="shared" si="4"/>
        <v>0</v>
      </c>
      <c r="K69" s="62">
        <f t="shared" si="4"/>
        <v>0</v>
      </c>
      <c r="L69" s="158"/>
      <c r="M69" s="158"/>
      <c r="N69" s="63"/>
      <c r="O69" s="64"/>
    </row>
    <row r="70" spans="2:15" ht="12" customHeight="1" x14ac:dyDescent="0.25">
      <c r="B70" s="103" t="s">
        <v>304</v>
      </c>
      <c r="C70" s="194" t="s">
        <v>335</v>
      </c>
      <c r="D70" s="151"/>
      <c r="E70" s="113"/>
      <c r="F70" s="65"/>
      <c r="G70" s="65"/>
      <c r="H70" s="65"/>
      <c r="I70" s="65"/>
      <c r="J70" s="65"/>
      <c r="K70" s="65">
        <f t="shared" si="3"/>
        <v>0</v>
      </c>
      <c r="L70" s="193"/>
      <c r="M70" s="193"/>
      <c r="N70" s="63"/>
      <c r="O70" s="64"/>
    </row>
    <row r="71" spans="2:15" ht="12" customHeight="1" x14ac:dyDescent="0.25">
      <c r="B71" s="103" t="s">
        <v>305</v>
      </c>
      <c r="C71" s="194" t="s">
        <v>336</v>
      </c>
      <c r="D71" s="151"/>
      <c r="E71" s="113"/>
      <c r="F71" s="65"/>
      <c r="G71" s="65"/>
      <c r="H71" s="65"/>
      <c r="I71" s="65"/>
      <c r="J71" s="65"/>
      <c r="K71" s="65">
        <f t="shared" si="3"/>
        <v>0</v>
      </c>
      <c r="L71" s="193"/>
      <c r="M71" s="193"/>
      <c r="N71" s="63"/>
      <c r="O71" s="64"/>
    </row>
    <row r="72" spans="2:15" ht="12" customHeight="1" x14ac:dyDescent="0.25">
      <c r="B72" s="103" t="s">
        <v>306</v>
      </c>
      <c r="C72" s="194" t="s">
        <v>337</v>
      </c>
      <c r="D72" s="151"/>
      <c r="E72" s="113"/>
      <c r="F72" s="65"/>
      <c r="G72" s="65"/>
      <c r="H72" s="65"/>
      <c r="I72" s="65"/>
      <c r="J72" s="65"/>
      <c r="K72" s="65">
        <f t="shared" si="3"/>
        <v>0</v>
      </c>
      <c r="L72" s="193"/>
      <c r="M72" s="193"/>
      <c r="N72" s="63"/>
      <c r="O72" s="64"/>
    </row>
    <row r="73" spans="2:15" ht="12" customHeight="1" x14ac:dyDescent="0.25">
      <c r="B73" s="103" t="s">
        <v>307</v>
      </c>
      <c r="C73" s="194" t="s">
        <v>338</v>
      </c>
      <c r="D73" s="151"/>
      <c r="E73" s="113"/>
      <c r="F73" s="65"/>
      <c r="G73" s="65"/>
      <c r="H73" s="65"/>
      <c r="I73" s="65"/>
      <c r="J73" s="65"/>
      <c r="K73" s="65">
        <f t="shared" si="3"/>
        <v>0</v>
      </c>
      <c r="L73" s="193"/>
      <c r="M73" s="193"/>
      <c r="N73" s="63"/>
      <c r="O73" s="64"/>
    </row>
    <row r="74" spans="2:15" ht="12" customHeight="1" x14ac:dyDescent="0.25">
      <c r="B74" s="103" t="s">
        <v>308</v>
      </c>
      <c r="C74" s="194" t="s">
        <v>339</v>
      </c>
      <c r="D74" s="151"/>
      <c r="E74" s="113"/>
      <c r="F74" s="65"/>
      <c r="G74" s="65"/>
      <c r="H74" s="65"/>
      <c r="I74" s="65"/>
      <c r="J74" s="65"/>
      <c r="K74" s="65">
        <f t="shared" si="3"/>
        <v>0</v>
      </c>
      <c r="L74" s="193"/>
      <c r="M74" s="193"/>
      <c r="N74" s="63"/>
      <c r="O74" s="64"/>
    </row>
    <row r="75" spans="2:15" ht="12" customHeight="1" x14ac:dyDescent="0.25">
      <c r="B75" s="103" t="s">
        <v>309</v>
      </c>
      <c r="C75" s="194" t="s">
        <v>340</v>
      </c>
      <c r="D75" s="151"/>
      <c r="E75" s="113"/>
      <c r="F75" s="65"/>
      <c r="G75" s="65"/>
      <c r="H75" s="65"/>
      <c r="I75" s="65"/>
      <c r="J75" s="65"/>
      <c r="K75" s="65">
        <f t="shared" si="3"/>
        <v>0</v>
      </c>
      <c r="L75" s="193"/>
      <c r="M75" s="193"/>
      <c r="N75" s="63"/>
      <c r="O75" s="64"/>
    </row>
    <row r="76" spans="2:15" ht="12" customHeight="1" x14ac:dyDescent="0.25">
      <c r="B76" s="103" t="s">
        <v>310</v>
      </c>
      <c r="C76" s="194" t="s">
        <v>341</v>
      </c>
      <c r="D76" s="151"/>
      <c r="E76" s="113"/>
      <c r="F76" s="65"/>
      <c r="G76" s="65"/>
      <c r="H76" s="65"/>
      <c r="I76" s="65"/>
      <c r="J76" s="65"/>
      <c r="K76" s="65">
        <f t="shared" si="3"/>
        <v>0</v>
      </c>
      <c r="L76" s="193"/>
      <c r="M76" s="193"/>
      <c r="N76" s="63"/>
      <c r="O76" s="64"/>
    </row>
    <row r="77" spans="2:15" ht="12" customHeight="1" x14ac:dyDescent="0.25">
      <c r="B77" s="103" t="s">
        <v>311</v>
      </c>
      <c r="C77" s="194" t="s">
        <v>342</v>
      </c>
      <c r="D77" s="151"/>
      <c r="E77" s="113"/>
      <c r="F77" s="65"/>
      <c r="G77" s="65"/>
      <c r="H77" s="65"/>
      <c r="I77" s="65"/>
      <c r="J77" s="65"/>
      <c r="K77" s="65">
        <f t="shared" si="3"/>
        <v>0</v>
      </c>
      <c r="L77" s="193"/>
      <c r="M77" s="193"/>
      <c r="N77" s="63"/>
      <c r="O77" s="64"/>
    </row>
    <row r="78" spans="2:15" ht="12" customHeight="1" x14ac:dyDescent="0.25">
      <c r="B78" s="103" t="s">
        <v>312</v>
      </c>
      <c r="C78" s="194" t="s">
        <v>343</v>
      </c>
      <c r="D78" s="151"/>
      <c r="E78" s="113"/>
      <c r="F78" s="65"/>
      <c r="G78" s="65"/>
      <c r="H78" s="65"/>
      <c r="I78" s="65"/>
      <c r="J78" s="65"/>
      <c r="K78" s="65">
        <f t="shared" si="3"/>
        <v>0</v>
      </c>
      <c r="L78" s="193"/>
      <c r="M78" s="193"/>
      <c r="N78" s="63"/>
      <c r="O78" s="64"/>
    </row>
    <row r="79" spans="2:15" ht="12" customHeight="1" x14ac:dyDescent="0.25">
      <c r="B79" s="103" t="s">
        <v>313</v>
      </c>
      <c r="C79" s="194" t="s">
        <v>344</v>
      </c>
      <c r="D79" s="151"/>
      <c r="E79" s="113"/>
      <c r="F79" s="65"/>
      <c r="G79" s="65"/>
      <c r="H79" s="65"/>
      <c r="I79" s="65"/>
      <c r="J79" s="65"/>
      <c r="K79" s="65">
        <f t="shared" si="3"/>
        <v>0</v>
      </c>
      <c r="L79" s="193"/>
      <c r="M79" s="193"/>
      <c r="N79" s="63"/>
      <c r="O79" s="64"/>
    </row>
    <row r="80" spans="2:15" ht="24" customHeight="1" x14ac:dyDescent="0.25">
      <c r="B80" s="61" t="s">
        <v>314</v>
      </c>
      <c r="C80" s="150" t="s">
        <v>315</v>
      </c>
      <c r="D80" s="195"/>
      <c r="E80" s="196"/>
      <c r="F80" s="62">
        <f t="shared" ref="F80:J80" si="5">F56-F69</f>
        <v>0</v>
      </c>
      <c r="G80" s="62">
        <f t="shared" si="5"/>
        <v>0</v>
      </c>
      <c r="H80" s="62">
        <f t="shared" si="5"/>
        <v>0</v>
      </c>
      <c r="I80" s="62">
        <f t="shared" si="5"/>
        <v>0</v>
      </c>
      <c r="J80" s="62">
        <f t="shared" si="5"/>
        <v>0</v>
      </c>
      <c r="K80" s="62">
        <f t="shared" ref="K80" si="6">SUM(F80:J80)</f>
        <v>0</v>
      </c>
      <c r="L80" s="158"/>
      <c r="M80" s="158"/>
      <c r="N80" s="63"/>
      <c r="O80" s="64"/>
    </row>
    <row r="81" spans="2:15" ht="4.5" customHeight="1" thickBot="1" x14ac:dyDescent="0.3">
      <c r="B81" s="58"/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60"/>
    </row>
    <row r="82" spans="2:15" ht="4.5" customHeight="1" x14ac:dyDescent="0.25"/>
    <row r="83" spans="2:15" ht="4.5" customHeight="1" thickBot="1" x14ac:dyDescent="0.3"/>
    <row r="84" spans="2:15" s="35" customFormat="1" ht="6.75" customHeight="1" thickBot="1" x14ac:dyDescent="0.3">
      <c r="B84" s="36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8"/>
    </row>
    <row r="85" spans="2:15" s="6" customFormat="1" ht="30" customHeight="1" thickBot="1" x14ac:dyDescent="0.3">
      <c r="B85" s="41" t="s">
        <v>125</v>
      </c>
      <c r="C85" s="165" t="s">
        <v>535</v>
      </c>
      <c r="D85" s="166"/>
      <c r="E85" s="166"/>
      <c r="F85" s="166"/>
      <c r="G85" s="166"/>
      <c r="H85" s="166"/>
      <c r="I85" s="166"/>
      <c r="J85" s="166"/>
      <c r="K85" s="166"/>
      <c r="L85" s="166"/>
      <c r="M85" s="167"/>
      <c r="N85" s="42"/>
    </row>
    <row r="86" spans="2:15" x14ac:dyDescent="0.25">
      <c r="B86" s="103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48"/>
    </row>
    <row r="87" spans="2:15" ht="24" customHeight="1" x14ac:dyDescent="0.25">
      <c r="B87" s="103"/>
      <c r="C87" s="491"/>
      <c r="D87" s="492"/>
      <c r="E87" s="493"/>
      <c r="F87" s="55" t="s">
        <v>182</v>
      </c>
      <c r="G87" s="55" t="s">
        <v>183</v>
      </c>
      <c r="H87" s="55" t="s">
        <v>184</v>
      </c>
      <c r="I87" s="55" t="s">
        <v>185</v>
      </c>
      <c r="J87" s="55" t="s">
        <v>186</v>
      </c>
      <c r="K87" s="56" t="s">
        <v>144</v>
      </c>
      <c r="L87" s="193"/>
      <c r="M87" s="193"/>
      <c r="N87" s="57"/>
    </row>
    <row r="88" spans="2:15" ht="24" customHeight="1" x14ac:dyDescent="0.25">
      <c r="B88" s="61" t="s">
        <v>206</v>
      </c>
      <c r="C88" s="461" t="s">
        <v>476</v>
      </c>
      <c r="D88" s="494"/>
      <c r="E88" s="495"/>
      <c r="F88" s="65">
        <f>SUM(F89:F100)</f>
        <v>0</v>
      </c>
      <c r="G88" s="65">
        <f t="shared" ref="G88:K88" si="7">SUM(G89:G100)</f>
        <v>0</v>
      </c>
      <c r="H88" s="65">
        <f t="shared" si="7"/>
        <v>0</v>
      </c>
      <c r="I88" s="65">
        <f t="shared" si="7"/>
        <v>0</v>
      </c>
      <c r="J88" s="65">
        <f t="shared" si="7"/>
        <v>0</v>
      </c>
      <c r="K88" s="65">
        <f t="shared" si="7"/>
        <v>0</v>
      </c>
      <c r="L88" s="193"/>
      <c r="M88" s="193"/>
      <c r="N88" s="63"/>
      <c r="O88" s="64"/>
    </row>
    <row r="89" spans="2:15" ht="12" customHeight="1" outlineLevel="1" x14ac:dyDescent="0.25">
      <c r="B89" s="103" t="s">
        <v>207</v>
      </c>
      <c r="C89" s="194" t="s">
        <v>323</v>
      </c>
      <c r="D89" s="310"/>
      <c r="E89" s="198"/>
      <c r="F89" s="65">
        <f>SUMIF(tab_budget[Realizuje],PSP!F$87,tab_budget[PSP1])</f>
        <v>0</v>
      </c>
      <c r="G89" s="65">
        <f>SUMIF(tab_budget[Realizuje],PSP!G$87,tab_budget[PSP1])</f>
        <v>0</v>
      </c>
      <c r="H89" s="65">
        <f>SUMIF(tab_budget[Realizuje],PSP!H$87,tab_budget[PSP1])</f>
        <v>0</v>
      </c>
      <c r="I89" s="65">
        <f>SUMIF(tab_budget[Realizuje],PSP!I$87,tab_budget[PSP1])</f>
        <v>0</v>
      </c>
      <c r="J89" s="65">
        <f>SUMIF(tab_budget[Realizuje],PSP!J$87,tab_budget[PSP1])</f>
        <v>0</v>
      </c>
      <c r="K89" s="65">
        <f>SUM(F89:J89)</f>
        <v>0</v>
      </c>
      <c r="L89" s="193"/>
      <c r="M89" s="193"/>
      <c r="N89" s="63"/>
      <c r="O89" s="64"/>
    </row>
    <row r="90" spans="2:15" ht="12" customHeight="1" outlineLevel="1" x14ac:dyDescent="0.25">
      <c r="B90" s="103" t="s">
        <v>208</v>
      </c>
      <c r="C90" s="194" t="s">
        <v>324</v>
      </c>
      <c r="D90" s="310"/>
      <c r="E90" s="198"/>
      <c r="F90" s="65">
        <f>SUMIF(tab_budget[Realizuje],PSP!F$87,tab_budget[PSP2])</f>
        <v>0</v>
      </c>
      <c r="G90" s="65">
        <f>SUMIF(tab_budget[Realizuje],PSP!G$87,tab_budget[PSP2])</f>
        <v>0</v>
      </c>
      <c r="H90" s="65">
        <f>SUMIF(tab_budget[Realizuje],PSP!H$87,tab_budget[PSP2])</f>
        <v>0</v>
      </c>
      <c r="I90" s="65">
        <f>SUMIF(tab_budget[Realizuje],PSP!I$87,tab_budget[PSP2])</f>
        <v>0</v>
      </c>
      <c r="J90" s="65">
        <f>SUMIF(tab_budget[Realizuje],PSP!J$87,tab_budget[PSP2])</f>
        <v>0</v>
      </c>
      <c r="K90" s="65">
        <f t="shared" ref="K90:K100" si="8">SUM(F90:J90)</f>
        <v>0</v>
      </c>
      <c r="L90" s="193"/>
      <c r="M90" s="193"/>
      <c r="N90" s="63"/>
      <c r="O90" s="64"/>
    </row>
    <row r="91" spans="2:15" ht="12" customHeight="1" outlineLevel="1" x14ac:dyDescent="0.25">
      <c r="B91" s="103" t="s">
        <v>209</v>
      </c>
      <c r="C91" s="194" t="s">
        <v>325</v>
      </c>
      <c r="D91" s="310"/>
      <c r="E91" s="198"/>
      <c r="F91" s="65">
        <f>SUMIF(tab_budget[Realizuje],PSP!F$87,tab_budget[PSP3])</f>
        <v>0</v>
      </c>
      <c r="G91" s="65">
        <f>SUMIF(tab_budget[Realizuje],PSP!G$87,tab_budget[PSP3])</f>
        <v>0</v>
      </c>
      <c r="H91" s="65">
        <f>SUMIF(tab_budget[Realizuje],PSP!H$87,tab_budget[PSP3])</f>
        <v>0</v>
      </c>
      <c r="I91" s="65">
        <f>SUMIF(tab_budget[Realizuje],PSP!I$87,tab_budget[PSP3])</f>
        <v>0</v>
      </c>
      <c r="J91" s="65">
        <f>SUMIF(tab_budget[Realizuje],PSP!J$87,tab_budget[PSP3])</f>
        <v>0</v>
      </c>
      <c r="K91" s="65">
        <f t="shared" si="8"/>
        <v>0</v>
      </c>
      <c r="L91" s="193"/>
      <c r="M91" s="193"/>
      <c r="N91" s="63"/>
      <c r="O91" s="64"/>
    </row>
    <row r="92" spans="2:15" ht="12" customHeight="1" outlineLevel="1" x14ac:dyDescent="0.25">
      <c r="B92" s="103" t="s">
        <v>210</v>
      </c>
      <c r="C92" s="194" t="s">
        <v>326</v>
      </c>
      <c r="D92" s="310"/>
      <c r="E92" s="198"/>
      <c r="F92" s="65">
        <f>SUMIF(tab_budget[Realizuje],PSP!F$87,tab_budget[PSP4])</f>
        <v>0</v>
      </c>
      <c r="G92" s="65">
        <f>SUMIF(tab_budget[Realizuje],PSP!G$87,tab_budget[PSP4])</f>
        <v>0</v>
      </c>
      <c r="H92" s="65">
        <f>SUMIF(tab_budget[Realizuje],PSP!H$87,tab_budget[PSP4])</f>
        <v>0</v>
      </c>
      <c r="I92" s="65">
        <f>SUMIF(tab_budget[Realizuje],PSP!I$87,tab_budget[PSP4])</f>
        <v>0</v>
      </c>
      <c r="J92" s="65">
        <f>SUMIF(tab_budget[Realizuje],PSP!J$87,tab_budget[PSP4])</f>
        <v>0</v>
      </c>
      <c r="K92" s="65">
        <f t="shared" si="8"/>
        <v>0</v>
      </c>
      <c r="L92" s="193"/>
      <c r="M92" s="193"/>
      <c r="N92" s="63"/>
      <c r="O92" s="64"/>
    </row>
    <row r="93" spans="2:15" ht="12" customHeight="1" outlineLevel="1" x14ac:dyDescent="0.25">
      <c r="B93" s="103" t="s">
        <v>211</v>
      </c>
      <c r="C93" s="194" t="s">
        <v>332</v>
      </c>
      <c r="D93" s="310"/>
      <c r="E93" s="198"/>
      <c r="F93" s="65">
        <f>SUMIF(tab_budget[Realizuje],PSP!F$87,tab_budget[PSP5])</f>
        <v>0</v>
      </c>
      <c r="G93" s="65">
        <f>SUMIF(tab_budget[Realizuje],PSP!G$87,tab_budget[PSP5])</f>
        <v>0</v>
      </c>
      <c r="H93" s="65">
        <f>SUMIF(tab_budget[Realizuje],PSP!H$87,tab_budget[PSP5])</f>
        <v>0</v>
      </c>
      <c r="I93" s="65">
        <f>SUMIF(tab_budget[Realizuje],PSP!I$87,tab_budget[PSP5])</f>
        <v>0</v>
      </c>
      <c r="J93" s="65">
        <f>SUMIF(tab_budget[Realizuje],PSP!J$87,tab_budget[PSP5])</f>
        <v>0</v>
      </c>
      <c r="K93" s="65">
        <f t="shared" si="8"/>
        <v>0</v>
      </c>
      <c r="L93" s="193"/>
      <c r="M93" s="193"/>
      <c r="N93" s="63"/>
      <c r="O93" s="64"/>
    </row>
    <row r="94" spans="2:15" ht="12" customHeight="1" outlineLevel="1" x14ac:dyDescent="0.25">
      <c r="B94" s="103" t="s">
        <v>212</v>
      </c>
      <c r="C94" s="194" t="s">
        <v>327</v>
      </c>
      <c r="D94" s="310"/>
      <c r="E94" s="198"/>
      <c r="F94" s="65">
        <f>SUMIF(tab_budget[Realizuje],PSP!F$87,tab_budget[PSP6])</f>
        <v>0</v>
      </c>
      <c r="G94" s="65">
        <f>SUMIF(tab_budget[Realizuje],PSP!G$87,tab_budget[PSP6])</f>
        <v>0</v>
      </c>
      <c r="H94" s="65">
        <f>SUMIF(tab_budget[Realizuje],PSP!H$87,tab_budget[PSP6])</f>
        <v>0</v>
      </c>
      <c r="I94" s="65">
        <f>SUMIF(tab_budget[Realizuje],PSP!I$87,tab_budget[PSP6])</f>
        <v>0</v>
      </c>
      <c r="J94" s="65">
        <f>SUMIF(tab_budget[Realizuje],PSP!J$87,tab_budget[PSP6])</f>
        <v>0</v>
      </c>
      <c r="K94" s="65">
        <f t="shared" si="8"/>
        <v>0</v>
      </c>
      <c r="L94" s="193"/>
      <c r="M94" s="193"/>
      <c r="N94" s="63"/>
      <c r="O94" s="64"/>
    </row>
    <row r="95" spans="2:15" ht="12" customHeight="1" outlineLevel="1" x14ac:dyDescent="0.25">
      <c r="B95" s="103" t="s">
        <v>213</v>
      </c>
      <c r="C95" s="194" t="s">
        <v>328</v>
      </c>
      <c r="D95" s="310"/>
      <c r="E95" s="198"/>
      <c r="F95" s="65">
        <f>SUMIF(tab_budget[Realizuje],PSP!F$87,tab_budget[PSP7])</f>
        <v>0</v>
      </c>
      <c r="G95" s="65">
        <f>SUMIF(tab_budget[Realizuje],PSP!G$87,tab_budget[PSP7])</f>
        <v>0</v>
      </c>
      <c r="H95" s="65">
        <f>SUMIF(tab_budget[Realizuje],PSP!H$87,tab_budget[PSP7])</f>
        <v>0</v>
      </c>
      <c r="I95" s="65">
        <f>SUMIF(tab_budget[Realizuje],PSP!I$87,tab_budget[PSP7])</f>
        <v>0</v>
      </c>
      <c r="J95" s="65">
        <f>SUMIF(tab_budget[Realizuje],PSP!J$87,tab_budget[PSP7])</f>
        <v>0</v>
      </c>
      <c r="K95" s="65">
        <f t="shared" si="8"/>
        <v>0</v>
      </c>
      <c r="L95" s="193"/>
      <c r="M95" s="193"/>
      <c r="N95" s="63"/>
      <c r="O95" s="64"/>
    </row>
    <row r="96" spans="2:15" ht="12" customHeight="1" outlineLevel="1" x14ac:dyDescent="0.25">
      <c r="B96" s="103" t="s">
        <v>214</v>
      </c>
      <c r="C96" s="194" t="s">
        <v>329</v>
      </c>
      <c r="D96" s="310"/>
      <c r="E96" s="198"/>
      <c r="F96" s="65">
        <f>SUMIF(tab_budget[Realizuje],PSP!F$87,tab_budget[PSP8])</f>
        <v>0</v>
      </c>
      <c r="G96" s="65">
        <f>SUMIF(tab_budget[Realizuje],PSP!G$87,tab_budget[PSP8])</f>
        <v>0</v>
      </c>
      <c r="H96" s="65">
        <f>SUMIF(tab_budget[Realizuje],PSP!H$87,tab_budget[PSP8])</f>
        <v>0</v>
      </c>
      <c r="I96" s="65">
        <f>SUMIF(tab_budget[Realizuje],PSP!I$87,tab_budget[PSP8])</f>
        <v>0</v>
      </c>
      <c r="J96" s="65">
        <f>SUMIF(tab_budget[Realizuje],PSP!J$87,tab_budget[PSP8])</f>
        <v>0</v>
      </c>
      <c r="K96" s="65">
        <f t="shared" si="8"/>
        <v>0</v>
      </c>
      <c r="L96" s="193"/>
      <c r="M96" s="193"/>
      <c r="N96" s="63"/>
      <c r="O96" s="64"/>
    </row>
    <row r="97" spans="2:15" ht="12" customHeight="1" outlineLevel="1" x14ac:dyDescent="0.25">
      <c r="B97" s="103" t="s">
        <v>215</v>
      </c>
      <c r="C97" s="194" t="s">
        <v>330</v>
      </c>
      <c r="D97" s="310"/>
      <c r="E97" s="198"/>
      <c r="F97" s="65">
        <f>SUMIF(tab_budget[Realizuje],PSP!F$87,tab_budget[PSP9])</f>
        <v>0</v>
      </c>
      <c r="G97" s="65">
        <f>SUMIF(tab_budget[Realizuje],PSP!G$87,tab_budget[PSP9])</f>
        <v>0</v>
      </c>
      <c r="H97" s="65">
        <f>SUMIF(tab_budget[Realizuje],PSP!H$87,tab_budget[PSP9])</f>
        <v>0</v>
      </c>
      <c r="I97" s="65">
        <f>SUMIF(tab_budget[Realizuje],PSP!I$87,tab_budget[PSP9])</f>
        <v>0</v>
      </c>
      <c r="J97" s="65">
        <f>SUMIF(tab_budget[Realizuje],PSP!J$87,tab_budget[PSP9])</f>
        <v>0</v>
      </c>
      <c r="K97" s="65">
        <f t="shared" si="8"/>
        <v>0</v>
      </c>
      <c r="L97" s="193"/>
      <c r="M97" s="193"/>
      <c r="N97" s="63"/>
      <c r="O97" s="64"/>
    </row>
    <row r="98" spans="2:15" ht="12" customHeight="1" outlineLevel="1" x14ac:dyDescent="0.25">
      <c r="B98" s="103" t="s">
        <v>216</v>
      </c>
      <c r="C98" s="194" t="s">
        <v>331</v>
      </c>
      <c r="D98" s="310"/>
      <c r="E98" s="198"/>
      <c r="F98" s="65">
        <f>SUMIF(tab_budget[Realizuje],PSP!F$87,tab_budget[PSP10])</f>
        <v>0</v>
      </c>
      <c r="G98" s="65">
        <f>SUMIF(tab_budget[Realizuje],PSP!G$87,tab_budget[PSP10])</f>
        <v>0</v>
      </c>
      <c r="H98" s="65">
        <f>SUMIF(tab_budget[Realizuje],PSP!H$87,tab_budget[PSP10])</f>
        <v>0</v>
      </c>
      <c r="I98" s="65">
        <f>SUMIF(tab_budget[Realizuje],PSP!I$87,tab_budget[PSP10])</f>
        <v>0</v>
      </c>
      <c r="J98" s="65">
        <f>SUMIF(tab_budget[Realizuje],PSP!J$87,tab_budget[PSP10])</f>
        <v>0</v>
      </c>
      <c r="K98" s="65">
        <f t="shared" si="8"/>
        <v>0</v>
      </c>
      <c r="L98" s="193"/>
      <c r="M98" s="193"/>
      <c r="N98" s="63"/>
      <c r="O98" s="64"/>
    </row>
    <row r="99" spans="2:15" ht="12" customHeight="1" outlineLevel="1" x14ac:dyDescent="0.25">
      <c r="B99" s="305" t="s">
        <v>503</v>
      </c>
      <c r="C99" s="194" t="s">
        <v>505</v>
      </c>
      <c r="D99" s="310"/>
      <c r="E99" s="198"/>
      <c r="F99" s="65">
        <f>SUMIF(tab_budget[Realizuje],PSP!F$87,tab_budget[PSP11])</f>
        <v>0</v>
      </c>
      <c r="G99" s="65">
        <f>SUMIF(tab_budget[Realizuje],PSP!G$87,tab_budget[PSP11])</f>
        <v>0</v>
      </c>
      <c r="H99" s="65">
        <f>SUMIF(tab_budget[Realizuje],PSP!H$87,tab_budget[PSP11])</f>
        <v>0</v>
      </c>
      <c r="I99" s="65">
        <f>SUMIF(tab_budget[Realizuje],PSP!I$87,tab_budget[PSP11])</f>
        <v>0</v>
      </c>
      <c r="J99" s="65">
        <f>SUMIF(tab_budget[Realizuje],PSP!J$87,tab_budget[PSP11])</f>
        <v>0</v>
      </c>
      <c r="K99" s="65">
        <f t="shared" si="8"/>
        <v>0</v>
      </c>
      <c r="L99" s="193"/>
      <c r="M99" s="193"/>
      <c r="N99" s="63"/>
      <c r="O99" s="64"/>
    </row>
    <row r="100" spans="2:15" ht="12" customHeight="1" outlineLevel="1" x14ac:dyDescent="0.25">
      <c r="B100" s="305" t="s">
        <v>504</v>
      </c>
      <c r="C100" s="194" t="s">
        <v>506</v>
      </c>
      <c r="D100" s="310"/>
      <c r="E100" s="198"/>
      <c r="F100" s="65">
        <f>SUMIF(tab_budget[Realizuje],PSP!F$87,tab_budget[PSP12])</f>
        <v>0</v>
      </c>
      <c r="G100" s="65">
        <f>SUMIF(tab_budget[Realizuje],PSP!G$87,tab_budget[PSP12])</f>
        <v>0</v>
      </c>
      <c r="H100" s="65">
        <f>SUMIF(tab_budget[Realizuje],PSP!H$87,tab_budget[PSP12])</f>
        <v>0</v>
      </c>
      <c r="I100" s="65">
        <f>SUMIF(tab_budget[Realizuje],PSP!I$87,tab_budget[PSP12])</f>
        <v>0</v>
      </c>
      <c r="J100" s="65">
        <f>SUMIF(tab_budget[Realizuje],PSP!J$87,tab_budget[PSP12])</f>
        <v>0</v>
      </c>
      <c r="K100" s="65">
        <f t="shared" si="8"/>
        <v>0</v>
      </c>
      <c r="L100" s="193"/>
      <c r="M100" s="193"/>
      <c r="N100" s="63"/>
      <c r="O100" s="64"/>
    </row>
    <row r="101" spans="2:15" ht="24" customHeight="1" x14ac:dyDescent="0.25">
      <c r="B101" s="61" t="s">
        <v>217</v>
      </c>
      <c r="C101" s="461" t="s">
        <v>665</v>
      </c>
      <c r="D101" s="494"/>
      <c r="E101" s="495"/>
      <c r="F101" s="65">
        <f>SUM(F102:F113)</f>
        <v>0</v>
      </c>
      <c r="G101" s="65">
        <f t="shared" ref="G101:J101" si="9">SUM(G102:G113)</f>
        <v>0</v>
      </c>
      <c r="H101" s="65">
        <f t="shared" si="9"/>
        <v>0</v>
      </c>
      <c r="I101" s="65">
        <f t="shared" si="9"/>
        <v>0</v>
      </c>
      <c r="J101" s="65">
        <f t="shared" si="9"/>
        <v>0</v>
      </c>
      <c r="K101" s="65">
        <f>SUM(F101:J101)</f>
        <v>0</v>
      </c>
      <c r="L101" s="193"/>
      <c r="M101" s="193"/>
      <c r="N101" s="63"/>
      <c r="O101" s="64"/>
    </row>
    <row r="102" spans="2:15" ht="12" customHeight="1" outlineLevel="1" x14ac:dyDescent="0.25">
      <c r="B102" s="103" t="s">
        <v>218</v>
      </c>
      <c r="C102" s="194" t="s">
        <v>323</v>
      </c>
      <c r="D102" s="310"/>
      <c r="E102" s="198"/>
      <c r="F102" s="65"/>
      <c r="G102" s="65"/>
      <c r="H102" s="65"/>
      <c r="I102" s="65"/>
      <c r="J102" s="65"/>
      <c r="K102" s="65">
        <f>SUM(F102:J102)</f>
        <v>0</v>
      </c>
      <c r="L102" s="193"/>
      <c r="M102" s="193"/>
      <c r="N102" s="63"/>
      <c r="O102" s="64"/>
    </row>
    <row r="103" spans="2:15" ht="12" customHeight="1" outlineLevel="1" x14ac:dyDescent="0.25">
      <c r="B103" s="103" t="s">
        <v>219</v>
      </c>
      <c r="C103" s="194" t="s">
        <v>324</v>
      </c>
      <c r="D103" s="310"/>
      <c r="E103" s="198"/>
      <c r="F103" s="65"/>
      <c r="G103" s="65"/>
      <c r="H103" s="65"/>
      <c r="I103" s="65"/>
      <c r="J103" s="65"/>
      <c r="K103" s="65">
        <f t="shared" ref="K103:K113" si="10">SUM(F103:J103)</f>
        <v>0</v>
      </c>
      <c r="L103" s="193"/>
      <c r="M103" s="193"/>
      <c r="N103" s="63"/>
      <c r="O103" s="64"/>
    </row>
    <row r="104" spans="2:15" ht="12" customHeight="1" outlineLevel="1" x14ac:dyDescent="0.25">
      <c r="B104" s="103" t="s">
        <v>220</v>
      </c>
      <c r="C104" s="194" t="s">
        <v>325</v>
      </c>
      <c r="D104" s="310"/>
      <c r="E104" s="198"/>
      <c r="F104" s="65"/>
      <c r="G104" s="65"/>
      <c r="H104" s="65"/>
      <c r="I104" s="65"/>
      <c r="J104" s="65"/>
      <c r="K104" s="65">
        <f t="shared" si="10"/>
        <v>0</v>
      </c>
      <c r="L104" s="193"/>
      <c r="M104" s="193"/>
      <c r="N104" s="63"/>
      <c r="O104" s="64"/>
    </row>
    <row r="105" spans="2:15" ht="12" customHeight="1" outlineLevel="1" x14ac:dyDescent="0.25">
      <c r="B105" s="103" t="s">
        <v>221</v>
      </c>
      <c r="C105" s="194" t="s">
        <v>326</v>
      </c>
      <c r="D105" s="310"/>
      <c r="E105" s="198"/>
      <c r="F105" s="65"/>
      <c r="G105" s="65"/>
      <c r="H105" s="65"/>
      <c r="I105" s="65"/>
      <c r="J105" s="65"/>
      <c r="K105" s="65">
        <f t="shared" si="10"/>
        <v>0</v>
      </c>
      <c r="L105" s="193"/>
      <c r="M105" s="193"/>
      <c r="N105" s="63"/>
      <c r="O105" s="64"/>
    </row>
    <row r="106" spans="2:15" ht="12" customHeight="1" outlineLevel="1" x14ac:dyDescent="0.25">
      <c r="B106" s="103" t="s">
        <v>222</v>
      </c>
      <c r="C106" s="194" t="s">
        <v>332</v>
      </c>
      <c r="D106" s="310"/>
      <c r="E106" s="198"/>
      <c r="F106" s="65"/>
      <c r="G106" s="65"/>
      <c r="H106" s="65"/>
      <c r="I106" s="65"/>
      <c r="J106" s="65"/>
      <c r="K106" s="65">
        <f t="shared" si="10"/>
        <v>0</v>
      </c>
      <c r="L106" s="193"/>
      <c r="M106" s="193"/>
      <c r="N106" s="63"/>
      <c r="O106" s="64"/>
    </row>
    <row r="107" spans="2:15" ht="12" customHeight="1" outlineLevel="1" x14ac:dyDescent="0.25">
      <c r="B107" s="103" t="s">
        <v>223</v>
      </c>
      <c r="C107" s="194" t="s">
        <v>327</v>
      </c>
      <c r="D107" s="310"/>
      <c r="E107" s="198"/>
      <c r="F107" s="65"/>
      <c r="G107" s="65"/>
      <c r="H107" s="65"/>
      <c r="I107" s="65"/>
      <c r="J107" s="65"/>
      <c r="K107" s="65">
        <f t="shared" si="10"/>
        <v>0</v>
      </c>
      <c r="L107" s="193"/>
      <c r="M107" s="193"/>
      <c r="N107" s="63"/>
      <c r="O107" s="64"/>
    </row>
    <row r="108" spans="2:15" ht="12" customHeight="1" outlineLevel="1" x14ac:dyDescent="0.25">
      <c r="B108" s="103" t="s">
        <v>224</v>
      </c>
      <c r="C108" s="194" t="s">
        <v>328</v>
      </c>
      <c r="D108" s="310"/>
      <c r="E108" s="198"/>
      <c r="F108" s="65"/>
      <c r="G108" s="65"/>
      <c r="H108" s="65"/>
      <c r="I108" s="65"/>
      <c r="J108" s="65"/>
      <c r="K108" s="65">
        <f t="shared" si="10"/>
        <v>0</v>
      </c>
      <c r="L108" s="193"/>
      <c r="M108" s="193"/>
      <c r="N108" s="63"/>
      <c r="O108" s="64"/>
    </row>
    <row r="109" spans="2:15" ht="12" customHeight="1" outlineLevel="1" x14ac:dyDescent="0.25">
      <c r="B109" s="103" t="s">
        <v>225</v>
      </c>
      <c r="C109" s="194" t="s">
        <v>329</v>
      </c>
      <c r="D109" s="310"/>
      <c r="E109" s="198"/>
      <c r="F109" s="65"/>
      <c r="G109" s="65"/>
      <c r="H109" s="65"/>
      <c r="I109" s="65"/>
      <c r="J109" s="65"/>
      <c r="K109" s="65">
        <f t="shared" si="10"/>
        <v>0</v>
      </c>
      <c r="L109" s="193"/>
      <c r="M109" s="193"/>
      <c r="N109" s="63"/>
      <c r="O109" s="64"/>
    </row>
    <row r="110" spans="2:15" ht="12" customHeight="1" outlineLevel="1" x14ac:dyDescent="0.25">
      <c r="B110" s="103" t="s">
        <v>226</v>
      </c>
      <c r="C110" s="194" t="s">
        <v>330</v>
      </c>
      <c r="D110" s="310"/>
      <c r="E110" s="198"/>
      <c r="F110" s="65"/>
      <c r="G110" s="65"/>
      <c r="H110" s="65"/>
      <c r="I110" s="65"/>
      <c r="J110" s="65"/>
      <c r="K110" s="65">
        <f t="shared" si="10"/>
        <v>0</v>
      </c>
      <c r="L110" s="193"/>
      <c r="M110" s="193"/>
      <c r="N110" s="63"/>
      <c r="O110" s="64"/>
    </row>
    <row r="111" spans="2:15" ht="12" customHeight="1" outlineLevel="1" x14ac:dyDescent="0.25">
      <c r="B111" s="103" t="s">
        <v>260</v>
      </c>
      <c r="C111" s="194" t="s">
        <v>331</v>
      </c>
      <c r="D111" s="310"/>
      <c r="E111" s="198"/>
      <c r="F111" s="65"/>
      <c r="G111" s="65"/>
      <c r="H111" s="65"/>
      <c r="I111" s="65"/>
      <c r="J111" s="65"/>
      <c r="K111" s="65">
        <f t="shared" si="10"/>
        <v>0</v>
      </c>
      <c r="L111" s="193"/>
      <c r="M111" s="193"/>
      <c r="N111" s="63"/>
      <c r="O111" s="64"/>
    </row>
    <row r="112" spans="2:15" ht="12" customHeight="1" outlineLevel="1" x14ac:dyDescent="0.25">
      <c r="B112" s="305" t="s">
        <v>518</v>
      </c>
      <c r="C112" s="194" t="s">
        <v>505</v>
      </c>
      <c r="D112" s="310"/>
      <c r="E112" s="198"/>
      <c r="F112" s="65"/>
      <c r="G112" s="65"/>
      <c r="H112" s="65"/>
      <c r="I112" s="65"/>
      <c r="J112" s="65"/>
      <c r="K112" s="65">
        <f t="shared" si="10"/>
        <v>0</v>
      </c>
      <c r="L112" s="193"/>
      <c r="M112" s="193"/>
      <c r="N112" s="63"/>
      <c r="O112" s="64"/>
    </row>
    <row r="113" spans="2:15" ht="12" customHeight="1" outlineLevel="1" x14ac:dyDescent="0.25">
      <c r="B113" s="305" t="s">
        <v>519</v>
      </c>
      <c r="C113" s="194" t="s">
        <v>506</v>
      </c>
      <c r="D113" s="310"/>
      <c r="E113" s="198"/>
      <c r="F113" s="65"/>
      <c r="G113" s="65"/>
      <c r="H113" s="65"/>
      <c r="I113" s="65"/>
      <c r="J113" s="65"/>
      <c r="K113" s="65">
        <f t="shared" si="10"/>
        <v>0</v>
      </c>
      <c r="L113" s="193"/>
      <c r="M113" s="193"/>
      <c r="N113" s="63"/>
      <c r="O113" s="64"/>
    </row>
    <row r="114" spans="2:15" ht="24" customHeight="1" x14ac:dyDescent="0.25">
      <c r="B114" s="61" t="s">
        <v>267</v>
      </c>
      <c r="C114" s="461" t="s">
        <v>507</v>
      </c>
      <c r="D114" s="494"/>
      <c r="E114" s="495"/>
      <c r="F114" s="65">
        <f>SUM(F115:F126)</f>
        <v>0</v>
      </c>
      <c r="G114" s="65">
        <f t="shared" ref="G114:J114" si="11">SUM(G115:G126)</f>
        <v>0</v>
      </c>
      <c r="H114" s="65">
        <f t="shared" si="11"/>
        <v>0</v>
      </c>
      <c r="I114" s="65">
        <f t="shared" si="11"/>
        <v>0</v>
      </c>
      <c r="J114" s="65">
        <f t="shared" si="11"/>
        <v>0</v>
      </c>
      <c r="K114" s="65">
        <f>SUM(F114:J114)</f>
        <v>0</v>
      </c>
      <c r="L114" s="193"/>
      <c r="M114" s="193"/>
      <c r="N114" s="63"/>
      <c r="O114" s="64"/>
    </row>
    <row r="115" spans="2:15" ht="12" customHeight="1" outlineLevel="1" x14ac:dyDescent="0.25">
      <c r="B115" s="305" t="s">
        <v>508</v>
      </c>
      <c r="C115" s="194" t="s">
        <v>323</v>
      </c>
      <c r="D115" s="310"/>
      <c r="E115" s="198"/>
      <c r="F115" s="65"/>
      <c r="G115" s="65"/>
      <c r="H115" s="65"/>
      <c r="I115" s="65"/>
      <c r="J115" s="65"/>
      <c r="K115" s="65">
        <f>SUM(F115:J115)</f>
        <v>0</v>
      </c>
      <c r="L115" s="193"/>
      <c r="M115" s="193"/>
      <c r="N115" s="63"/>
      <c r="O115" s="64"/>
    </row>
    <row r="116" spans="2:15" ht="12" customHeight="1" outlineLevel="1" x14ac:dyDescent="0.25">
      <c r="B116" s="305" t="s">
        <v>509</v>
      </c>
      <c r="C116" s="194" t="s">
        <v>324</v>
      </c>
      <c r="D116" s="310"/>
      <c r="E116" s="198"/>
      <c r="F116" s="65"/>
      <c r="G116" s="65"/>
      <c r="H116" s="65"/>
      <c r="I116" s="65"/>
      <c r="J116" s="65"/>
      <c r="K116" s="65">
        <f t="shared" ref="K116:K126" si="12">SUM(F116:J116)</f>
        <v>0</v>
      </c>
      <c r="L116" s="193"/>
      <c r="M116" s="193"/>
      <c r="N116" s="63"/>
      <c r="O116" s="64"/>
    </row>
    <row r="117" spans="2:15" ht="12" customHeight="1" outlineLevel="1" x14ac:dyDescent="0.25">
      <c r="B117" s="305" t="s">
        <v>510</v>
      </c>
      <c r="C117" s="194" t="s">
        <v>325</v>
      </c>
      <c r="D117" s="310"/>
      <c r="E117" s="198"/>
      <c r="F117" s="65"/>
      <c r="G117" s="65"/>
      <c r="H117" s="65"/>
      <c r="I117" s="65"/>
      <c r="J117" s="65"/>
      <c r="K117" s="65">
        <f t="shared" si="12"/>
        <v>0</v>
      </c>
      <c r="L117" s="193"/>
      <c r="M117" s="193"/>
      <c r="N117" s="63"/>
      <c r="O117" s="64"/>
    </row>
    <row r="118" spans="2:15" ht="12" customHeight="1" outlineLevel="1" x14ac:dyDescent="0.25">
      <c r="B118" s="305" t="s">
        <v>511</v>
      </c>
      <c r="C118" s="194" t="s">
        <v>326</v>
      </c>
      <c r="D118" s="310"/>
      <c r="E118" s="198"/>
      <c r="F118" s="65"/>
      <c r="G118" s="65"/>
      <c r="H118" s="65"/>
      <c r="I118" s="65"/>
      <c r="J118" s="65"/>
      <c r="K118" s="65">
        <f t="shared" si="12"/>
        <v>0</v>
      </c>
      <c r="L118" s="193"/>
      <c r="M118" s="193"/>
      <c r="N118" s="63"/>
      <c r="O118" s="64"/>
    </row>
    <row r="119" spans="2:15" ht="12" customHeight="1" outlineLevel="1" x14ac:dyDescent="0.25">
      <c r="B119" s="305" t="s">
        <v>512</v>
      </c>
      <c r="C119" s="194" t="s">
        <v>332</v>
      </c>
      <c r="D119" s="310"/>
      <c r="E119" s="198"/>
      <c r="F119" s="65"/>
      <c r="G119" s="65"/>
      <c r="H119" s="65"/>
      <c r="I119" s="65"/>
      <c r="J119" s="65"/>
      <c r="K119" s="65">
        <f t="shared" si="12"/>
        <v>0</v>
      </c>
      <c r="L119" s="193"/>
      <c r="M119" s="193"/>
      <c r="N119" s="63"/>
      <c r="O119" s="64"/>
    </row>
    <row r="120" spans="2:15" ht="12" customHeight="1" outlineLevel="1" x14ac:dyDescent="0.25">
      <c r="B120" s="305" t="s">
        <v>513</v>
      </c>
      <c r="C120" s="194" t="s">
        <v>327</v>
      </c>
      <c r="D120" s="310"/>
      <c r="E120" s="198"/>
      <c r="F120" s="65"/>
      <c r="G120" s="65"/>
      <c r="H120" s="65"/>
      <c r="I120" s="65"/>
      <c r="J120" s="65"/>
      <c r="K120" s="65">
        <f t="shared" si="12"/>
        <v>0</v>
      </c>
      <c r="L120" s="193"/>
      <c r="M120" s="193"/>
      <c r="N120" s="63"/>
      <c r="O120" s="64"/>
    </row>
    <row r="121" spans="2:15" ht="12" customHeight="1" outlineLevel="1" x14ac:dyDescent="0.25">
      <c r="B121" s="305" t="s">
        <v>514</v>
      </c>
      <c r="C121" s="194" t="s">
        <v>328</v>
      </c>
      <c r="D121" s="310"/>
      <c r="E121" s="198"/>
      <c r="F121" s="65"/>
      <c r="G121" s="65"/>
      <c r="H121" s="65"/>
      <c r="I121" s="65"/>
      <c r="J121" s="65"/>
      <c r="K121" s="65">
        <f t="shared" si="12"/>
        <v>0</v>
      </c>
      <c r="L121" s="193"/>
      <c r="M121" s="193"/>
      <c r="N121" s="63"/>
      <c r="O121" s="64"/>
    </row>
    <row r="122" spans="2:15" ht="12" customHeight="1" outlineLevel="1" x14ac:dyDescent="0.25">
      <c r="B122" s="305" t="s">
        <v>515</v>
      </c>
      <c r="C122" s="194" t="s">
        <v>329</v>
      </c>
      <c r="D122" s="310"/>
      <c r="E122" s="198"/>
      <c r="F122" s="65"/>
      <c r="G122" s="65"/>
      <c r="H122" s="65"/>
      <c r="I122" s="65"/>
      <c r="J122" s="65"/>
      <c r="K122" s="65">
        <f t="shared" si="12"/>
        <v>0</v>
      </c>
      <c r="L122" s="193"/>
      <c r="M122" s="193"/>
      <c r="N122" s="63"/>
      <c r="O122" s="64"/>
    </row>
    <row r="123" spans="2:15" ht="12" customHeight="1" outlineLevel="1" x14ac:dyDescent="0.25">
      <c r="B123" s="305" t="s">
        <v>516</v>
      </c>
      <c r="C123" s="194" t="s">
        <v>330</v>
      </c>
      <c r="D123" s="310"/>
      <c r="E123" s="198"/>
      <c r="F123" s="65"/>
      <c r="G123" s="65"/>
      <c r="H123" s="65"/>
      <c r="I123" s="65"/>
      <c r="J123" s="65"/>
      <c r="K123" s="65">
        <f t="shared" si="12"/>
        <v>0</v>
      </c>
      <c r="L123" s="193"/>
      <c r="M123" s="193"/>
      <c r="N123" s="63"/>
      <c r="O123" s="64"/>
    </row>
    <row r="124" spans="2:15" ht="12" customHeight="1" outlineLevel="1" x14ac:dyDescent="0.25">
      <c r="B124" s="305" t="s">
        <v>517</v>
      </c>
      <c r="C124" s="194" t="s">
        <v>331</v>
      </c>
      <c r="D124" s="310"/>
      <c r="E124" s="198"/>
      <c r="F124" s="65"/>
      <c r="G124" s="65"/>
      <c r="H124" s="65"/>
      <c r="I124" s="65"/>
      <c r="J124" s="65"/>
      <c r="K124" s="65">
        <f t="shared" si="12"/>
        <v>0</v>
      </c>
      <c r="L124" s="193"/>
      <c r="M124" s="193"/>
      <c r="N124" s="63"/>
      <c r="O124" s="64"/>
    </row>
    <row r="125" spans="2:15" ht="12" customHeight="1" outlineLevel="1" x14ac:dyDescent="0.25">
      <c r="B125" s="305" t="s">
        <v>520</v>
      </c>
      <c r="C125" s="194" t="s">
        <v>505</v>
      </c>
      <c r="D125" s="310"/>
      <c r="E125" s="198"/>
      <c r="F125" s="65"/>
      <c r="G125" s="65"/>
      <c r="H125" s="65"/>
      <c r="I125" s="65"/>
      <c r="J125" s="65"/>
      <c r="K125" s="65">
        <f t="shared" si="12"/>
        <v>0</v>
      </c>
      <c r="L125" s="193"/>
      <c r="M125" s="193"/>
      <c r="N125" s="63"/>
      <c r="O125" s="64"/>
    </row>
    <row r="126" spans="2:15" ht="12" customHeight="1" outlineLevel="1" x14ac:dyDescent="0.25">
      <c r="B126" s="305" t="s">
        <v>521</v>
      </c>
      <c r="C126" s="194" t="s">
        <v>506</v>
      </c>
      <c r="D126" s="310"/>
      <c r="E126" s="198"/>
      <c r="F126" s="65"/>
      <c r="G126" s="65"/>
      <c r="H126" s="65"/>
      <c r="I126" s="65"/>
      <c r="J126" s="65"/>
      <c r="K126" s="65">
        <f t="shared" si="12"/>
        <v>0</v>
      </c>
      <c r="L126" s="193"/>
      <c r="M126" s="193"/>
      <c r="N126" s="63"/>
      <c r="O126" s="64"/>
    </row>
    <row r="127" spans="2:15" ht="24" customHeight="1" x14ac:dyDescent="0.25">
      <c r="B127" s="61" t="s">
        <v>358</v>
      </c>
      <c r="C127" s="461" t="s">
        <v>522</v>
      </c>
      <c r="D127" s="494"/>
      <c r="E127" s="495"/>
      <c r="F127" s="65">
        <f>SUM(F128:F139)</f>
        <v>0</v>
      </c>
      <c r="G127" s="65">
        <f t="shared" ref="G127:J127" si="13">SUM(G128:G139)</f>
        <v>0</v>
      </c>
      <c r="H127" s="65">
        <f t="shared" si="13"/>
        <v>0</v>
      </c>
      <c r="I127" s="65">
        <f t="shared" si="13"/>
        <v>0</v>
      </c>
      <c r="J127" s="65">
        <f t="shared" si="13"/>
        <v>0</v>
      </c>
      <c r="K127" s="65">
        <f>SUM(F127:J127)</f>
        <v>0</v>
      </c>
      <c r="L127" s="193"/>
      <c r="M127" s="193"/>
      <c r="N127" s="63"/>
      <c r="O127" s="64"/>
    </row>
    <row r="128" spans="2:15" ht="12" customHeight="1" outlineLevel="1" x14ac:dyDescent="0.25">
      <c r="B128" s="305" t="s">
        <v>523</v>
      </c>
      <c r="C128" s="194" t="s">
        <v>323</v>
      </c>
      <c r="D128" s="310"/>
      <c r="E128" s="198"/>
      <c r="F128" s="65"/>
      <c r="G128" s="65"/>
      <c r="H128" s="65"/>
      <c r="I128" s="65"/>
      <c r="J128" s="65"/>
      <c r="K128" s="65">
        <f>SUM(F128:J128)</f>
        <v>0</v>
      </c>
      <c r="L128" s="193"/>
      <c r="M128" s="193"/>
      <c r="N128" s="63"/>
      <c r="O128" s="64"/>
    </row>
    <row r="129" spans="2:15" ht="12" customHeight="1" outlineLevel="1" x14ac:dyDescent="0.25">
      <c r="B129" s="305" t="s">
        <v>524</v>
      </c>
      <c r="C129" s="194" t="s">
        <v>324</v>
      </c>
      <c r="D129" s="310"/>
      <c r="E129" s="198"/>
      <c r="F129" s="65"/>
      <c r="G129" s="65"/>
      <c r="H129" s="65"/>
      <c r="I129" s="65"/>
      <c r="J129" s="65"/>
      <c r="K129" s="65">
        <f t="shared" ref="K129:K139" si="14">SUM(F129:J129)</f>
        <v>0</v>
      </c>
      <c r="L129" s="193"/>
      <c r="M129" s="193"/>
      <c r="N129" s="63"/>
      <c r="O129" s="64"/>
    </row>
    <row r="130" spans="2:15" ht="12" customHeight="1" outlineLevel="1" x14ac:dyDescent="0.25">
      <c r="B130" s="305" t="s">
        <v>525</v>
      </c>
      <c r="C130" s="194" t="s">
        <v>325</v>
      </c>
      <c r="D130" s="310"/>
      <c r="E130" s="198"/>
      <c r="F130" s="65"/>
      <c r="G130" s="65"/>
      <c r="H130" s="65"/>
      <c r="I130" s="65"/>
      <c r="J130" s="65"/>
      <c r="K130" s="65">
        <f t="shared" si="14"/>
        <v>0</v>
      </c>
      <c r="L130" s="193"/>
      <c r="M130" s="193"/>
      <c r="N130" s="63"/>
      <c r="O130" s="64"/>
    </row>
    <row r="131" spans="2:15" ht="12" customHeight="1" outlineLevel="1" x14ac:dyDescent="0.25">
      <c r="B131" s="305" t="s">
        <v>526</v>
      </c>
      <c r="C131" s="194" t="s">
        <v>326</v>
      </c>
      <c r="D131" s="310"/>
      <c r="E131" s="198"/>
      <c r="F131" s="65"/>
      <c r="G131" s="65"/>
      <c r="H131" s="65"/>
      <c r="I131" s="65"/>
      <c r="J131" s="65"/>
      <c r="K131" s="65">
        <f t="shared" si="14"/>
        <v>0</v>
      </c>
      <c r="L131" s="193"/>
      <c r="M131" s="193"/>
      <c r="N131" s="63"/>
      <c r="O131" s="64"/>
    </row>
    <row r="132" spans="2:15" ht="12" customHeight="1" outlineLevel="1" x14ac:dyDescent="0.25">
      <c r="B132" s="305" t="s">
        <v>527</v>
      </c>
      <c r="C132" s="194" t="s">
        <v>332</v>
      </c>
      <c r="D132" s="310"/>
      <c r="E132" s="198"/>
      <c r="F132" s="65"/>
      <c r="G132" s="65"/>
      <c r="H132" s="65"/>
      <c r="I132" s="65"/>
      <c r="J132" s="65"/>
      <c r="K132" s="65">
        <f t="shared" si="14"/>
        <v>0</v>
      </c>
      <c r="L132" s="193"/>
      <c r="M132" s="193"/>
      <c r="N132" s="63"/>
      <c r="O132" s="64"/>
    </row>
    <row r="133" spans="2:15" ht="12" customHeight="1" outlineLevel="1" x14ac:dyDescent="0.25">
      <c r="B133" s="305" t="s">
        <v>528</v>
      </c>
      <c r="C133" s="194" t="s">
        <v>327</v>
      </c>
      <c r="D133" s="310"/>
      <c r="E133" s="198"/>
      <c r="F133" s="65"/>
      <c r="G133" s="65"/>
      <c r="H133" s="65"/>
      <c r="I133" s="65"/>
      <c r="J133" s="65"/>
      <c r="K133" s="65">
        <f t="shared" si="14"/>
        <v>0</v>
      </c>
      <c r="L133" s="193"/>
      <c r="M133" s="193"/>
      <c r="N133" s="63"/>
      <c r="O133" s="64"/>
    </row>
    <row r="134" spans="2:15" ht="12" customHeight="1" outlineLevel="1" x14ac:dyDescent="0.25">
      <c r="B134" s="305" t="s">
        <v>529</v>
      </c>
      <c r="C134" s="194" t="s">
        <v>328</v>
      </c>
      <c r="D134" s="310"/>
      <c r="E134" s="198"/>
      <c r="F134" s="65"/>
      <c r="G134" s="65"/>
      <c r="H134" s="65"/>
      <c r="I134" s="65"/>
      <c r="J134" s="65"/>
      <c r="K134" s="65">
        <f t="shared" si="14"/>
        <v>0</v>
      </c>
      <c r="L134" s="193"/>
      <c r="M134" s="193"/>
      <c r="N134" s="63"/>
      <c r="O134" s="64"/>
    </row>
    <row r="135" spans="2:15" ht="12" customHeight="1" outlineLevel="1" x14ac:dyDescent="0.25">
      <c r="B135" s="305" t="s">
        <v>530</v>
      </c>
      <c r="C135" s="194" t="s">
        <v>329</v>
      </c>
      <c r="D135" s="310"/>
      <c r="E135" s="198"/>
      <c r="F135" s="65"/>
      <c r="G135" s="65"/>
      <c r="H135" s="65"/>
      <c r="I135" s="65"/>
      <c r="J135" s="65"/>
      <c r="K135" s="65">
        <f t="shared" si="14"/>
        <v>0</v>
      </c>
      <c r="L135" s="193"/>
      <c r="M135" s="193"/>
      <c r="N135" s="63"/>
      <c r="O135" s="64"/>
    </row>
    <row r="136" spans="2:15" ht="12" customHeight="1" outlineLevel="1" x14ac:dyDescent="0.25">
      <c r="B136" s="305" t="s">
        <v>531</v>
      </c>
      <c r="C136" s="194" t="s">
        <v>330</v>
      </c>
      <c r="D136" s="310"/>
      <c r="E136" s="198"/>
      <c r="F136" s="65"/>
      <c r="G136" s="65"/>
      <c r="H136" s="65"/>
      <c r="I136" s="65"/>
      <c r="J136" s="65"/>
      <c r="K136" s="65">
        <f t="shared" si="14"/>
        <v>0</v>
      </c>
      <c r="L136" s="193"/>
      <c r="M136" s="193"/>
      <c r="N136" s="63"/>
      <c r="O136" s="64"/>
    </row>
    <row r="137" spans="2:15" ht="12" customHeight="1" outlineLevel="1" x14ac:dyDescent="0.25">
      <c r="B137" s="305" t="s">
        <v>532</v>
      </c>
      <c r="C137" s="194" t="s">
        <v>331</v>
      </c>
      <c r="D137" s="310"/>
      <c r="E137" s="198"/>
      <c r="F137" s="65"/>
      <c r="G137" s="65"/>
      <c r="H137" s="65"/>
      <c r="I137" s="65"/>
      <c r="J137" s="65"/>
      <c r="K137" s="65">
        <f t="shared" si="14"/>
        <v>0</v>
      </c>
      <c r="L137" s="193"/>
      <c r="M137" s="193"/>
      <c r="N137" s="63"/>
      <c r="O137" s="64"/>
    </row>
    <row r="138" spans="2:15" ht="12" customHeight="1" outlineLevel="1" x14ac:dyDescent="0.25">
      <c r="B138" s="305" t="s">
        <v>533</v>
      </c>
      <c r="C138" s="194" t="s">
        <v>505</v>
      </c>
      <c r="D138" s="310"/>
      <c r="E138" s="198"/>
      <c r="F138" s="65"/>
      <c r="G138" s="65"/>
      <c r="H138" s="65"/>
      <c r="I138" s="65"/>
      <c r="J138" s="65"/>
      <c r="K138" s="65">
        <f t="shared" si="14"/>
        <v>0</v>
      </c>
      <c r="L138" s="193"/>
      <c r="M138" s="193"/>
      <c r="N138" s="63"/>
      <c r="O138" s="64"/>
    </row>
    <row r="139" spans="2:15" ht="12" customHeight="1" outlineLevel="1" x14ac:dyDescent="0.25">
      <c r="B139" s="305" t="s">
        <v>534</v>
      </c>
      <c r="C139" s="194" t="s">
        <v>506</v>
      </c>
      <c r="D139" s="310"/>
      <c r="E139" s="198"/>
      <c r="F139" s="65"/>
      <c r="G139" s="65"/>
      <c r="H139" s="65"/>
      <c r="I139" s="65"/>
      <c r="J139" s="65"/>
      <c r="K139" s="65">
        <f t="shared" si="14"/>
        <v>0</v>
      </c>
      <c r="L139" s="193"/>
      <c r="M139" s="193"/>
      <c r="N139" s="63"/>
      <c r="O139" s="64"/>
    </row>
    <row r="140" spans="2:15" ht="24" customHeight="1" x14ac:dyDescent="0.25">
      <c r="B140" s="61" t="s">
        <v>359</v>
      </c>
      <c r="C140" s="461" t="s">
        <v>540</v>
      </c>
      <c r="D140" s="494"/>
      <c r="E140" s="495"/>
      <c r="F140" s="65">
        <f>SUM(F141:F152)</f>
        <v>0</v>
      </c>
      <c r="G140" s="65">
        <f t="shared" ref="G140:J140" si="15">SUM(G141:G152)</f>
        <v>0</v>
      </c>
      <c r="H140" s="65">
        <f t="shared" si="15"/>
        <v>0</v>
      </c>
      <c r="I140" s="65">
        <f t="shared" si="15"/>
        <v>0</v>
      </c>
      <c r="J140" s="65">
        <f t="shared" si="15"/>
        <v>0</v>
      </c>
      <c r="K140" s="65">
        <f>SUM(F140:J140)</f>
        <v>0</v>
      </c>
      <c r="L140" s="193"/>
      <c r="M140" s="193"/>
      <c r="N140" s="63"/>
      <c r="O140" s="64"/>
    </row>
    <row r="141" spans="2:15" ht="12" customHeight="1" outlineLevel="1" x14ac:dyDescent="0.25">
      <c r="B141" s="305" t="s">
        <v>541</v>
      </c>
      <c r="C141" s="194" t="s">
        <v>323</v>
      </c>
      <c r="D141" s="310"/>
      <c r="E141" s="198"/>
      <c r="F141" s="65"/>
      <c r="G141" s="65"/>
      <c r="H141" s="65"/>
      <c r="I141" s="65"/>
      <c r="J141" s="65"/>
      <c r="K141" s="65">
        <f>SUM(F141:J141)</f>
        <v>0</v>
      </c>
      <c r="L141" s="193"/>
      <c r="M141" s="193"/>
      <c r="N141" s="63"/>
      <c r="O141" s="64"/>
    </row>
    <row r="142" spans="2:15" ht="12" customHeight="1" outlineLevel="1" x14ac:dyDescent="0.25">
      <c r="B142" s="305" t="s">
        <v>542</v>
      </c>
      <c r="C142" s="194" t="s">
        <v>324</v>
      </c>
      <c r="D142" s="310"/>
      <c r="E142" s="198"/>
      <c r="F142" s="65"/>
      <c r="G142" s="65"/>
      <c r="H142" s="65"/>
      <c r="I142" s="65"/>
      <c r="J142" s="65"/>
      <c r="K142" s="65">
        <f t="shared" ref="K142:K152" si="16">SUM(F142:J142)</f>
        <v>0</v>
      </c>
      <c r="L142" s="193"/>
      <c r="M142" s="193"/>
      <c r="N142" s="63"/>
      <c r="O142" s="64"/>
    </row>
    <row r="143" spans="2:15" ht="12" customHeight="1" outlineLevel="1" x14ac:dyDescent="0.25">
      <c r="B143" s="305" t="s">
        <v>543</v>
      </c>
      <c r="C143" s="194" t="s">
        <v>325</v>
      </c>
      <c r="D143" s="310"/>
      <c r="E143" s="198"/>
      <c r="F143" s="65"/>
      <c r="G143" s="65"/>
      <c r="H143" s="65"/>
      <c r="I143" s="65"/>
      <c r="J143" s="65"/>
      <c r="K143" s="65">
        <f t="shared" si="16"/>
        <v>0</v>
      </c>
      <c r="L143" s="193"/>
      <c r="M143" s="193"/>
      <c r="N143" s="63"/>
      <c r="O143" s="64"/>
    </row>
    <row r="144" spans="2:15" ht="12" customHeight="1" outlineLevel="1" x14ac:dyDescent="0.25">
      <c r="B144" s="305" t="s">
        <v>544</v>
      </c>
      <c r="C144" s="194" t="s">
        <v>326</v>
      </c>
      <c r="D144" s="310"/>
      <c r="E144" s="198"/>
      <c r="F144" s="65"/>
      <c r="G144" s="65"/>
      <c r="H144" s="65"/>
      <c r="I144" s="65"/>
      <c r="J144" s="65"/>
      <c r="K144" s="65">
        <f t="shared" si="16"/>
        <v>0</v>
      </c>
      <c r="L144" s="193"/>
      <c r="M144" s="193"/>
      <c r="N144" s="63"/>
      <c r="O144" s="64"/>
    </row>
    <row r="145" spans="2:15" ht="12" customHeight="1" outlineLevel="1" x14ac:dyDescent="0.25">
      <c r="B145" s="305" t="s">
        <v>545</v>
      </c>
      <c r="C145" s="194" t="s">
        <v>332</v>
      </c>
      <c r="D145" s="310"/>
      <c r="E145" s="198"/>
      <c r="F145" s="65"/>
      <c r="G145" s="65"/>
      <c r="H145" s="65"/>
      <c r="I145" s="65"/>
      <c r="J145" s="65"/>
      <c r="K145" s="65">
        <f t="shared" si="16"/>
        <v>0</v>
      </c>
      <c r="L145" s="193"/>
      <c r="M145" s="193"/>
      <c r="N145" s="63"/>
      <c r="O145" s="64"/>
    </row>
    <row r="146" spans="2:15" ht="12" customHeight="1" outlineLevel="1" x14ac:dyDescent="0.25">
      <c r="B146" s="305" t="s">
        <v>546</v>
      </c>
      <c r="C146" s="194" t="s">
        <v>327</v>
      </c>
      <c r="D146" s="310"/>
      <c r="E146" s="198"/>
      <c r="F146" s="65"/>
      <c r="G146" s="65"/>
      <c r="H146" s="65"/>
      <c r="I146" s="65"/>
      <c r="J146" s="65"/>
      <c r="K146" s="65">
        <f t="shared" si="16"/>
        <v>0</v>
      </c>
      <c r="L146" s="193"/>
      <c r="M146" s="193"/>
      <c r="N146" s="63"/>
      <c r="O146" s="64"/>
    </row>
    <row r="147" spans="2:15" ht="12" customHeight="1" outlineLevel="1" x14ac:dyDescent="0.25">
      <c r="B147" s="305" t="s">
        <v>547</v>
      </c>
      <c r="C147" s="194" t="s">
        <v>328</v>
      </c>
      <c r="D147" s="310"/>
      <c r="E147" s="198"/>
      <c r="F147" s="65"/>
      <c r="G147" s="65"/>
      <c r="H147" s="65"/>
      <c r="I147" s="65"/>
      <c r="J147" s="65"/>
      <c r="K147" s="65">
        <f t="shared" si="16"/>
        <v>0</v>
      </c>
      <c r="L147" s="193"/>
      <c r="M147" s="193"/>
      <c r="N147" s="63"/>
      <c r="O147" s="64"/>
    </row>
    <row r="148" spans="2:15" ht="12" customHeight="1" outlineLevel="1" x14ac:dyDescent="0.25">
      <c r="B148" s="305" t="s">
        <v>548</v>
      </c>
      <c r="C148" s="194" t="s">
        <v>329</v>
      </c>
      <c r="D148" s="310"/>
      <c r="E148" s="198"/>
      <c r="F148" s="65"/>
      <c r="G148" s="65"/>
      <c r="H148" s="65"/>
      <c r="I148" s="65"/>
      <c r="J148" s="65"/>
      <c r="K148" s="65">
        <f t="shared" si="16"/>
        <v>0</v>
      </c>
      <c r="L148" s="193"/>
      <c r="M148" s="193"/>
      <c r="N148" s="63"/>
      <c r="O148" s="64"/>
    </row>
    <row r="149" spans="2:15" ht="12" customHeight="1" outlineLevel="1" x14ac:dyDescent="0.25">
      <c r="B149" s="305" t="s">
        <v>549</v>
      </c>
      <c r="C149" s="194" t="s">
        <v>330</v>
      </c>
      <c r="D149" s="310"/>
      <c r="E149" s="198"/>
      <c r="F149" s="65"/>
      <c r="G149" s="65"/>
      <c r="H149" s="65"/>
      <c r="I149" s="65"/>
      <c r="J149" s="65"/>
      <c r="K149" s="65">
        <f t="shared" si="16"/>
        <v>0</v>
      </c>
      <c r="L149" s="193"/>
      <c r="M149" s="193"/>
      <c r="N149" s="63"/>
      <c r="O149" s="64"/>
    </row>
    <row r="150" spans="2:15" ht="12" customHeight="1" outlineLevel="1" x14ac:dyDescent="0.25">
      <c r="B150" s="305" t="s">
        <v>550</v>
      </c>
      <c r="C150" s="194" t="s">
        <v>331</v>
      </c>
      <c r="D150" s="310"/>
      <c r="E150" s="198"/>
      <c r="F150" s="65"/>
      <c r="G150" s="65"/>
      <c r="H150" s="65"/>
      <c r="I150" s="65"/>
      <c r="J150" s="65"/>
      <c r="K150" s="65">
        <f t="shared" si="16"/>
        <v>0</v>
      </c>
      <c r="L150" s="193"/>
      <c r="M150" s="193"/>
      <c r="N150" s="63"/>
      <c r="O150" s="64"/>
    </row>
    <row r="151" spans="2:15" ht="12" customHeight="1" outlineLevel="1" x14ac:dyDescent="0.25">
      <c r="B151" s="305" t="s">
        <v>551</v>
      </c>
      <c r="C151" s="194" t="s">
        <v>505</v>
      </c>
      <c r="D151" s="310"/>
      <c r="E151" s="198"/>
      <c r="F151" s="65"/>
      <c r="G151" s="65"/>
      <c r="H151" s="65"/>
      <c r="I151" s="65"/>
      <c r="J151" s="65"/>
      <c r="K151" s="65">
        <f t="shared" si="16"/>
        <v>0</v>
      </c>
      <c r="L151" s="193"/>
      <c r="M151" s="193"/>
      <c r="N151" s="63"/>
      <c r="O151" s="64"/>
    </row>
    <row r="152" spans="2:15" ht="12" customHeight="1" outlineLevel="1" x14ac:dyDescent="0.25">
      <c r="B152" s="305" t="s">
        <v>552</v>
      </c>
      <c r="C152" s="194" t="s">
        <v>506</v>
      </c>
      <c r="D152" s="310"/>
      <c r="E152" s="198"/>
      <c r="F152" s="65"/>
      <c r="G152" s="65"/>
      <c r="H152" s="65"/>
      <c r="I152" s="65"/>
      <c r="J152" s="65"/>
      <c r="K152" s="65">
        <f t="shared" si="16"/>
        <v>0</v>
      </c>
      <c r="L152" s="193"/>
      <c r="M152" s="193"/>
      <c r="N152" s="63"/>
      <c r="O152" s="64"/>
    </row>
    <row r="153" spans="2:15" ht="24" customHeight="1" x14ac:dyDescent="0.25">
      <c r="B153" s="61" t="s">
        <v>538</v>
      </c>
      <c r="C153" s="311" t="s">
        <v>537</v>
      </c>
      <c r="D153" s="312"/>
      <c r="E153" s="313"/>
      <c r="F153" s="65">
        <f>direct_costs_settled_applicant+indirect_costs_settled_applicant+reserve_settled_applicant+in_kind_settled_applicant-ineligible_expenses_applicant</f>
        <v>0</v>
      </c>
      <c r="G153" s="65">
        <f>direct_costs_settled_partner1+indirect_costs_settled_partner1+reserve_settled_partner1+in_kind_settled_partner1-ineligible_expenses_partner1</f>
        <v>0</v>
      </c>
      <c r="H153" s="65">
        <f>direct_costs_settled_partner2+indirect_costs_settled_partner2+reserve_settled_partner2+in_kind_settled_partner2-ineligible_expenses_partner2</f>
        <v>0</v>
      </c>
      <c r="I153" s="65">
        <f>direct_costs_settled_partner3+indirect_costs_settled_partner3+reserve_settled_partner3+in_kind_settled_partner3-ineligible_expenses_partner3</f>
        <v>0</v>
      </c>
      <c r="J153" s="65">
        <f>direct_costs_settled_partner4+indirect_costs_settled_partner4+reserve_settled_partner4+in_kind_settled_partner4-ineligible_expenses_partner4</f>
        <v>0</v>
      </c>
      <c r="K153" s="65">
        <f>SUM(F153:J153)</f>
        <v>0</v>
      </c>
      <c r="L153" s="193"/>
      <c r="M153" s="193"/>
      <c r="N153" s="63"/>
      <c r="O153" s="64"/>
    </row>
    <row r="154" spans="2:15" ht="24" customHeight="1" x14ac:dyDescent="0.25">
      <c r="B154" s="61" t="s">
        <v>553</v>
      </c>
      <c r="C154" s="374" t="s">
        <v>663</v>
      </c>
      <c r="D154" s="312"/>
      <c r="E154" s="313"/>
      <c r="F154" s="65">
        <f>direct_costs_settled_applicant+indirect_costs_settled_applicant+reserve_settled_applicant</f>
        <v>0</v>
      </c>
      <c r="G154" s="65">
        <f>direct_costs_settled_partner1+indirect_costs_settled_partner1+reserve_settled_partner1</f>
        <v>0</v>
      </c>
      <c r="H154" s="65">
        <f>direct_costs_settled_partner2+indirect_costs_settled_partner2+reserve_settled_partner2</f>
        <v>0</v>
      </c>
      <c r="I154" s="65">
        <f>direct_costs_settled_partner3+indirect_costs_settled_partner3+reserve_settled_partner3</f>
        <v>0</v>
      </c>
      <c r="J154" s="65">
        <f>direct_costs_settled_partner4+indirect_costs_settled_partner4+reserve_settled_partner4</f>
        <v>0</v>
      </c>
      <c r="K154" s="65">
        <f>SUM(F154:J154)</f>
        <v>0</v>
      </c>
      <c r="L154" s="193"/>
      <c r="M154" s="193"/>
      <c r="N154" s="63"/>
      <c r="O154" s="64"/>
    </row>
    <row r="155" spans="2:15" ht="24" customHeight="1" x14ac:dyDescent="0.25">
      <c r="B155" s="61" t="s">
        <v>664</v>
      </c>
      <c r="C155" s="311" t="s">
        <v>539</v>
      </c>
      <c r="D155" s="312"/>
      <c r="E155" s="313"/>
      <c r="F155" s="65">
        <f>project_grant_settled_total-project_grant_settled_partner1-project_grant_settled_partner2-project_grant_settled_partner3-project_grant_settled_partner4</f>
        <v>0</v>
      </c>
      <c r="G155" s="65">
        <f>ROUND(cash_costs_settled_partner1*(grant_requested_total/total_eligible_cash_expenditure_total),2)</f>
        <v>0</v>
      </c>
      <c r="H155" s="65">
        <f>ROUND(cash_costs_settled_partner2*(grant_requested_total/total_eligible_cash_expenditure_total),2)</f>
        <v>0</v>
      </c>
      <c r="I155" s="65">
        <f>ROUND(cash_costs_settled_partner3*(grant_requested_total/total_eligible_cash_expenditure_total),2)</f>
        <v>0</v>
      </c>
      <c r="J155" s="65">
        <f>ROUND(cash_costs_settled_partner4*(grant_requested_total/total_eligible_cash_expenditure_total),2)</f>
        <v>0</v>
      </c>
      <c r="K155" s="65">
        <f>ROUND(cash_costs_settled_total*(grant_requested_total/total_eligible_cash_expenditure_total),2)</f>
        <v>0</v>
      </c>
      <c r="L155" s="193"/>
      <c r="M155" s="193"/>
      <c r="N155" s="63"/>
      <c r="O155" s="64"/>
    </row>
    <row r="156" spans="2:15" ht="6.75" customHeight="1" thickBot="1" x14ac:dyDescent="0.3">
      <c r="B156" s="58"/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60"/>
    </row>
    <row r="157" spans="2:15" ht="4.5" customHeight="1" x14ac:dyDescent="0.25"/>
    <row r="158" spans="2:15" ht="4.5" customHeight="1" thickBot="1" x14ac:dyDescent="0.3"/>
    <row r="159" spans="2:15" s="35" customFormat="1" ht="6.75" customHeight="1" thickBot="1" x14ac:dyDescent="0.3">
      <c r="B159" s="36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8"/>
    </row>
    <row r="160" spans="2:15" s="6" customFormat="1" ht="30" customHeight="1" thickBot="1" x14ac:dyDescent="0.3">
      <c r="B160" s="41" t="s">
        <v>126</v>
      </c>
      <c r="C160" s="165" t="s">
        <v>555</v>
      </c>
      <c r="D160" s="166"/>
      <c r="E160" s="166"/>
      <c r="F160" s="166"/>
      <c r="G160" s="166"/>
      <c r="H160" s="166"/>
      <c r="I160" s="166"/>
      <c r="J160" s="166"/>
      <c r="K160" s="166"/>
      <c r="L160" s="166"/>
      <c r="M160" s="167"/>
      <c r="N160" s="42"/>
    </row>
    <row r="161" spans="2:15" s="35" customFormat="1" ht="6.75" customHeight="1" x14ac:dyDescent="0.25">
      <c r="B161" s="4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5"/>
    </row>
    <row r="162" spans="2:15" ht="24" customHeight="1" x14ac:dyDescent="0.25">
      <c r="B162" s="305"/>
      <c r="C162" s="491"/>
      <c r="D162" s="492"/>
      <c r="E162" s="493"/>
      <c r="F162" s="55" t="s">
        <v>182</v>
      </c>
      <c r="G162" s="55" t="s">
        <v>183</v>
      </c>
      <c r="H162" s="55" t="s">
        <v>184</v>
      </c>
      <c r="I162" s="55" t="s">
        <v>185</v>
      </c>
      <c r="J162" s="55" t="s">
        <v>186</v>
      </c>
      <c r="K162" s="56" t="s">
        <v>144</v>
      </c>
      <c r="L162" s="193"/>
      <c r="M162" s="193"/>
      <c r="N162" s="57"/>
    </row>
    <row r="163" spans="2:15" ht="24" customHeight="1" x14ac:dyDescent="0.25">
      <c r="B163" s="61" t="s">
        <v>261</v>
      </c>
      <c r="C163" s="461" t="s">
        <v>556</v>
      </c>
      <c r="D163" s="494"/>
      <c r="E163" s="495"/>
      <c r="F163" s="65">
        <f>SUMIF(tab_invoices[Realizuje],promoter_entitlement,tab_invoices[Nárokovaná suma])</f>
        <v>0</v>
      </c>
      <c r="G163" s="65">
        <f>SUMIF(tab_invoices[Realizuje],partner1_entitlement,tab_invoices[Nárokovaná suma])</f>
        <v>0</v>
      </c>
      <c r="H163" s="65">
        <f>SUMIF(tab_invoices[Realizuje],partner2_entitlement,tab_invoices[Nárokovaná suma])</f>
        <v>0</v>
      </c>
      <c r="I163" s="65">
        <f>SUMIF(tab_invoices[Realizuje],partner3_entitlement,tab_invoices[Nárokovaná suma])</f>
        <v>0</v>
      </c>
      <c r="J163" s="65">
        <f>SUMIF(tab_invoices[Realizuje],partner4_entitlement,tab_invoices[Nárokovaná suma])</f>
        <v>0</v>
      </c>
      <c r="K163" s="65">
        <f>SUM(F163:J163)</f>
        <v>0</v>
      </c>
      <c r="L163" s="193"/>
      <c r="M163" s="193"/>
      <c r="N163" s="63"/>
      <c r="O163" s="64"/>
    </row>
    <row r="164" spans="2:15" ht="24" customHeight="1" x14ac:dyDescent="0.25">
      <c r="B164" s="61" t="s">
        <v>262</v>
      </c>
      <c r="C164" s="461" t="s">
        <v>654</v>
      </c>
      <c r="D164" s="494"/>
      <c r="E164" s="495"/>
      <c r="F164" s="339"/>
      <c r="G164" s="339"/>
      <c r="H164" s="339"/>
      <c r="I164" s="339"/>
      <c r="J164" s="339"/>
      <c r="K164" s="65">
        <f t="shared" ref="K164:K165" si="17">SUM(F164:J164)</f>
        <v>0</v>
      </c>
      <c r="L164" s="193"/>
      <c r="M164" s="193"/>
      <c r="N164" s="63"/>
      <c r="O164" s="64"/>
    </row>
    <row r="165" spans="2:15" ht="24" customHeight="1" x14ac:dyDescent="0.25">
      <c r="B165" s="61" t="s">
        <v>263</v>
      </c>
      <c r="C165" s="496" t="s">
        <v>557</v>
      </c>
      <c r="D165" s="497"/>
      <c r="E165" s="498"/>
      <c r="F165" s="339"/>
      <c r="G165" s="339"/>
      <c r="H165" s="339"/>
      <c r="I165" s="339"/>
      <c r="J165" s="339"/>
      <c r="K165" s="65">
        <f t="shared" si="17"/>
        <v>0</v>
      </c>
      <c r="L165" s="193"/>
      <c r="M165" s="193"/>
      <c r="N165" s="63"/>
      <c r="O165" s="64"/>
    </row>
    <row r="166" spans="2:15" ht="24" customHeight="1" x14ac:dyDescent="0.25">
      <c r="B166" s="61" t="s">
        <v>264</v>
      </c>
      <c r="C166" s="461" t="s">
        <v>666</v>
      </c>
      <c r="D166" s="494"/>
      <c r="E166" s="495"/>
      <c r="F166" s="339"/>
      <c r="G166" s="339"/>
      <c r="H166" s="339"/>
      <c r="I166" s="339"/>
      <c r="J166" s="339"/>
      <c r="K166" s="65">
        <f>SUM(F166:J166)</f>
        <v>0</v>
      </c>
      <c r="L166" s="193"/>
      <c r="M166" s="193"/>
      <c r="N166" s="63"/>
      <c r="O166" s="64"/>
    </row>
    <row r="167" spans="2:15" ht="24" customHeight="1" x14ac:dyDescent="0.25">
      <c r="B167" s="61" t="s">
        <v>265</v>
      </c>
      <c r="C167" s="461" t="s">
        <v>667</v>
      </c>
      <c r="D167" s="494"/>
      <c r="E167" s="495"/>
      <c r="F167" s="65">
        <f>ineligible_claimed_direct_costs_applicant+ineligible_claimed_indirect_costs_applicant+ineligible_claimed_reserve_applicant+ineligible_claimed_in_kind_applicant</f>
        <v>0</v>
      </c>
      <c r="G167" s="65">
        <f>ineligible_claimed_direct_costs_partner1+ineligible_claimed_indirect_costs_partner1+ineligible_claimed_reserve_partner1+ineligible_claimed_in_kind_partner1</f>
        <v>0</v>
      </c>
      <c r="H167" s="65">
        <f>ineligible_claimed_direct_costs_partner2+ineligible_claimed_indirect_costs_partner2+ineligible_claimed_reserve_partner2+ineligible_claimed_in_kind_partner2</f>
        <v>0</v>
      </c>
      <c r="I167" s="65">
        <f>ineligible_claimed_direct_costs_partner3+ineligible_claimed_indirect_costs_partner3+ineligible_claimed_reserve_partner3+ineligible_claimed_in_kind_partner3</f>
        <v>0</v>
      </c>
      <c r="J167" s="65">
        <f>ineligible_claimed_direct_costs_partner4+ineligible_claimed_indirect_costs_partner4+ineligible_claimed_reserve_partner4+ineligible_claimed_in_kind_partner4</f>
        <v>0</v>
      </c>
      <c r="K167" s="65">
        <f>ineligible_claimed_direct_costs_total+ineligible_claimed_indirect_costs_total+ineligible_claimed_reserve_total+ineligible_claimed_in_kind_total</f>
        <v>0</v>
      </c>
      <c r="L167" s="193"/>
      <c r="M167" s="193"/>
      <c r="N167" s="63"/>
      <c r="O167" s="64"/>
    </row>
    <row r="168" spans="2:15" ht="9.75" customHeight="1" x14ac:dyDescent="0.25">
      <c r="B168" s="61"/>
      <c r="C168" s="377" t="s">
        <v>669</v>
      </c>
      <c r="D168" s="371"/>
      <c r="E168" s="371"/>
      <c r="F168" s="379"/>
      <c r="G168" s="379"/>
      <c r="H168" s="379"/>
      <c r="I168" s="379"/>
      <c r="J168" s="379"/>
      <c r="K168" s="376"/>
      <c r="L168" s="193"/>
      <c r="M168" s="193"/>
      <c r="N168" s="63"/>
      <c r="O168" s="64"/>
    </row>
    <row r="169" spans="2:15" ht="24" customHeight="1" x14ac:dyDescent="0.25">
      <c r="B169" s="61"/>
      <c r="C169" s="375" t="s">
        <v>670</v>
      </c>
      <c r="D169" s="500" t="s">
        <v>674</v>
      </c>
      <c r="E169" s="462"/>
      <c r="F169" s="65">
        <f>SUMIF(tab_invoices[Realizuje],promoter_entitlement,tab_invoices[Neoprávnené výdavky])</f>
        <v>0</v>
      </c>
      <c r="G169" s="65">
        <f>SUMIF(tab_invoices[Realizuje],partner1_entitlement,tab_invoices[Neoprávnené výdavky])</f>
        <v>0</v>
      </c>
      <c r="H169" s="65">
        <f>SUMIF(tab_invoices[Realizuje],partner2_entitlement,tab_invoices[Neoprávnené výdavky])</f>
        <v>0</v>
      </c>
      <c r="I169" s="65">
        <f>SUMIF(tab_invoices[Realizuje],partner3_entitlement,tab_invoices[Neoprávnené výdavky])</f>
        <v>0</v>
      </c>
      <c r="J169" s="65">
        <f>SUMIF(tab_invoices[Realizuje],partner4_entitlement,tab_invoices[Neoprávnené výdavky])</f>
        <v>0</v>
      </c>
      <c r="K169" s="65">
        <f>SUM(F169:J169)</f>
        <v>0</v>
      </c>
      <c r="L169" s="193"/>
      <c r="M169" s="193"/>
      <c r="N169" s="63"/>
      <c r="O169" s="64"/>
    </row>
    <row r="170" spans="2:15" ht="24" customHeight="1" x14ac:dyDescent="0.25">
      <c r="B170" s="61"/>
      <c r="C170" s="375" t="s">
        <v>671</v>
      </c>
      <c r="D170" s="500" t="s">
        <v>675</v>
      </c>
      <c r="E170" s="462"/>
      <c r="F170" s="380"/>
      <c r="G170" s="380"/>
      <c r="H170" s="380"/>
      <c r="I170" s="380"/>
      <c r="J170" s="380"/>
      <c r="K170" s="65">
        <f>SUM(F170:J170)</f>
        <v>0</v>
      </c>
      <c r="L170" s="193"/>
      <c r="M170" s="193"/>
      <c r="N170" s="63"/>
      <c r="O170" s="64"/>
    </row>
    <row r="171" spans="2:15" ht="24" customHeight="1" x14ac:dyDescent="0.25">
      <c r="B171" s="61"/>
      <c r="C171" s="375" t="s">
        <v>672</v>
      </c>
      <c r="D171" s="500" t="s">
        <v>676</v>
      </c>
      <c r="E171" s="462"/>
      <c r="F171" s="380"/>
      <c r="G171" s="380"/>
      <c r="H171" s="380"/>
      <c r="I171" s="380"/>
      <c r="J171" s="380"/>
      <c r="K171" s="65">
        <f>SUM(F171:J171)</f>
        <v>0</v>
      </c>
      <c r="L171" s="193"/>
      <c r="M171" s="193"/>
      <c r="N171" s="63"/>
      <c r="O171" s="64"/>
    </row>
    <row r="172" spans="2:15" ht="24" customHeight="1" x14ac:dyDescent="0.25">
      <c r="B172" s="61"/>
      <c r="C172" s="375" t="s">
        <v>673</v>
      </c>
      <c r="D172" s="500" t="s">
        <v>677</v>
      </c>
      <c r="E172" s="462"/>
      <c r="F172" s="380"/>
      <c r="G172" s="380"/>
      <c r="H172" s="380"/>
      <c r="I172" s="380"/>
      <c r="J172" s="380"/>
      <c r="K172" s="65">
        <f>SUM(F172:J172)</f>
        <v>0</v>
      </c>
      <c r="L172" s="193"/>
      <c r="M172" s="193"/>
      <c r="N172" s="63"/>
      <c r="O172" s="64"/>
    </row>
    <row r="173" spans="2:15" ht="9.75" customHeight="1" x14ac:dyDescent="0.25">
      <c r="B173" s="61"/>
      <c r="C173" s="378"/>
      <c r="D173" s="371"/>
      <c r="E173" s="371"/>
      <c r="F173" s="371"/>
      <c r="G173" s="371"/>
      <c r="H173" s="371"/>
      <c r="I173" s="371"/>
      <c r="J173" s="371"/>
      <c r="K173" s="376"/>
      <c r="L173" s="193"/>
      <c r="M173" s="193"/>
      <c r="N173" s="63"/>
      <c r="O173" s="64"/>
    </row>
    <row r="174" spans="2:15" ht="24" customHeight="1" x14ac:dyDescent="0.25">
      <c r="B174" s="61" t="s">
        <v>266</v>
      </c>
      <c r="C174" s="461" t="s">
        <v>659</v>
      </c>
      <c r="D174" s="480"/>
      <c r="E174" s="462"/>
      <c r="F174" s="112">
        <f>direct_costs_claimed_applicant+indirect_costs_claimed_applicant+reserve_claimed_applicant</f>
        <v>0</v>
      </c>
      <c r="G174" s="112">
        <f>direct_costs_claimed_partner1+indirect_costs_claimed_partner1+reserve_claimed_partner1</f>
        <v>0</v>
      </c>
      <c r="H174" s="112">
        <f>direct_costs_claimed_partner2+indirect_costs_claimed_partner2+reserve_claimed_partner2</f>
        <v>0</v>
      </c>
      <c r="I174" s="112">
        <f>direct_costs_claimed_partner3+indirect_costs_claimed_partner3+reserve_claimed_partner3</f>
        <v>0</v>
      </c>
      <c r="J174" s="112">
        <f>direct_costs_claimed_partner4+indirect_costs_claimed_partner4+reserve_claimed_partner4</f>
        <v>0</v>
      </c>
      <c r="K174" s="65">
        <f>SUM(F174:J174)</f>
        <v>0</v>
      </c>
      <c r="L174" s="193"/>
      <c r="M174" s="193"/>
      <c r="N174" s="63"/>
      <c r="O174" s="64"/>
    </row>
    <row r="175" spans="2:15" ht="24" customHeight="1" x14ac:dyDescent="0.25">
      <c r="B175" s="61" t="s">
        <v>595</v>
      </c>
      <c r="C175" s="461" t="s">
        <v>679</v>
      </c>
      <c r="D175" s="480"/>
      <c r="E175" s="462"/>
      <c r="F175" s="112">
        <f>cash_costs_claimed_applicant-ineligible_claimed_direct_costs_applicant-ineligible_claimed_indirect_costs_applicant-ineligible_claimed_reserve_applicant</f>
        <v>0</v>
      </c>
      <c r="G175" s="112">
        <f>cash_costs_claimed_partner1-ineligible_claimed_direct_costs_partner1-ineligible_claimed_indirect_costs_partner1-ineligible_claimed_reserve_partner1</f>
        <v>0</v>
      </c>
      <c r="H175" s="112">
        <f>cash_costs_claimed_partner2-ineligible_claimed_direct_costs_partner2-ineligible_claimed_indirect_costs_partner2-ineligible_claimed_reserve_partner2</f>
        <v>0</v>
      </c>
      <c r="I175" s="112">
        <f>cash_costs_claimed_partner3-ineligible_claimed_direct_costs_partner3-ineligible_claimed_indirect_costs_partner3-ineligible_claimed_reserve_partner3</f>
        <v>0</v>
      </c>
      <c r="J175" s="112">
        <f>cash_costs_claimed_partner4-ineligible_claimed_direct_costs_partner4-ineligible_claimed_indirect_costs_partner4-ineligible_claimed_reserve_partner4</f>
        <v>0</v>
      </c>
      <c r="K175" s="65">
        <f>SUM(F175:J175)</f>
        <v>0</v>
      </c>
      <c r="L175" s="193"/>
      <c r="M175" s="193"/>
      <c r="N175" s="63"/>
      <c r="O175" s="64"/>
    </row>
    <row r="176" spans="2:15" ht="9.75" customHeight="1" x14ac:dyDescent="0.25">
      <c r="B176" s="61"/>
      <c r="C176" s="378"/>
      <c r="D176" s="371"/>
      <c r="E176" s="371"/>
      <c r="F176" s="371"/>
      <c r="G176" s="371"/>
      <c r="H176" s="371"/>
      <c r="I176" s="371"/>
      <c r="J176" s="371"/>
      <c r="K176" s="376"/>
      <c r="L176" s="193"/>
      <c r="M176" s="193"/>
      <c r="N176" s="63"/>
      <c r="O176" s="64"/>
    </row>
    <row r="177" spans="2:15" ht="24" customHeight="1" x14ac:dyDescent="0.25">
      <c r="B177" s="61" t="s">
        <v>597</v>
      </c>
      <c r="C177" s="461" t="s">
        <v>681</v>
      </c>
      <c r="D177" s="480"/>
      <c r="E177" s="462"/>
      <c r="F177" s="65">
        <f>project_grant_costs_claimed_total-project_grant_costs_claimed_partner1-project_grant_costs_claimed_partner2-project_grant_costs_claimed_partner3-project_grant_costs_claimed_partner4</f>
        <v>0</v>
      </c>
      <c r="G177" s="65">
        <f>ROUND(cash_costs_claimed_partner1*(grant_requested_total/total_eligible_cash_expenditure_total),2)</f>
        <v>0</v>
      </c>
      <c r="H177" s="65">
        <f>ROUND(cash_costs_claimed_partner2*(grant_requested_total/total_eligible_cash_expenditure_total),2)</f>
        <v>0</v>
      </c>
      <c r="I177" s="65">
        <f>ROUND(cash_costs_claimed_partner3*(grant_requested_total/total_eligible_cash_expenditure_total),2)</f>
        <v>0</v>
      </c>
      <c r="J177" s="65">
        <f>ROUND(cash_costs_claimed_partner4*(grant_requested_total/total_eligible_cash_expenditure_total),2)</f>
        <v>0</v>
      </c>
      <c r="K177" s="65">
        <f>ROUND(cash_costs_claimed_total*(grant_requested_total/total_eligible_cash_expenditure_total),2)</f>
        <v>0</v>
      </c>
      <c r="L177" s="193"/>
      <c r="M177" s="193"/>
      <c r="N177" s="63"/>
      <c r="O177" s="64"/>
    </row>
    <row r="178" spans="2:15" ht="24" customHeight="1" x14ac:dyDescent="0.25">
      <c r="B178" s="61" t="s">
        <v>680</v>
      </c>
      <c r="C178" s="461" t="s">
        <v>682</v>
      </c>
      <c r="D178" s="480"/>
      <c r="E178" s="462"/>
      <c r="F178" s="65">
        <f>project_grant_costs_claimed_eligible_total-project_grant_costs_claimed_eligible_partner1-project_grant_costs_claimed_eligible_partner2-project_grant_costs_claimed_eligible_partner3-project_grant_costs_claimed_eligible_partner4</f>
        <v>0</v>
      </c>
      <c r="G178" s="65">
        <f>ROUND(cash_costs_claimed_eligible_partner1*(grant_requested_total/total_eligible_cash_expenditure_total),2)</f>
        <v>0</v>
      </c>
      <c r="H178" s="65">
        <f>ROUND(cash_costs_claimed_eligible_partner2*(grant_requested_total/total_eligible_cash_expenditure_total),2)</f>
        <v>0</v>
      </c>
      <c r="I178" s="65">
        <f>ROUND(cash_costs_claimed_eligible_partner3*(grant_requested_total/total_eligible_cash_expenditure_total),2)</f>
        <v>0</v>
      </c>
      <c r="J178" s="65">
        <f>ROUND(cash_costs_claimed_eligible_partner4*(grant_requested_total/total_eligible_cash_expenditure_total),2)</f>
        <v>0</v>
      </c>
      <c r="K178" s="65">
        <f>ROUND(cash_costs_claimed_eligible_total*(grant_requested_total/total_eligible_cash_expenditure_total),2)</f>
        <v>0</v>
      </c>
      <c r="L178" s="193"/>
      <c r="M178" s="193"/>
      <c r="N178" s="63"/>
      <c r="O178" s="64"/>
    </row>
    <row r="179" spans="2:15" ht="9.75" customHeight="1" x14ac:dyDescent="0.25">
      <c r="B179" s="61"/>
      <c r="C179" s="378"/>
      <c r="D179" s="371"/>
      <c r="E179" s="371"/>
      <c r="F179" s="371"/>
      <c r="G179" s="371"/>
      <c r="H179" s="371"/>
      <c r="I179" s="371"/>
      <c r="J179" s="371"/>
      <c r="K179" s="376"/>
      <c r="L179" s="193"/>
      <c r="M179" s="193"/>
      <c r="N179" s="63"/>
      <c r="O179" s="64"/>
    </row>
    <row r="180" spans="2:15" ht="24" customHeight="1" x14ac:dyDescent="0.25">
      <c r="B180" s="61" t="s">
        <v>273</v>
      </c>
      <c r="C180" s="461" t="s">
        <v>660</v>
      </c>
      <c r="D180" s="494"/>
      <c r="E180" s="495"/>
      <c r="F180" s="112">
        <f>cash_costs_claimed_applicant+in_kind_claimed_applicant</f>
        <v>0</v>
      </c>
      <c r="G180" s="112">
        <f>cash_costs_claimed_partner1+in_kind_claimed_partner1</f>
        <v>0</v>
      </c>
      <c r="H180" s="112">
        <f>cash_costs_claimed_partner2+in_kind_claimed_partner2</f>
        <v>0</v>
      </c>
      <c r="I180" s="112">
        <f>cash_costs_claimed_partner3+in_kind_claimed_partner3</f>
        <v>0</v>
      </c>
      <c r="J180" s="112">
        <f>cash_costs_claimed_partner4+in_kind_claimed_partner4</f>
        <v>0</v>
      </c>
      <c r="K180" s="65">
        <f>SUM(F180:J180)</f>
        <v>0</v>
      </c>
      <c r="L180" s="193"/>
      <c r="M180" s="193"/>
      <c r="N180" s="63"/>
      <c r="O180" s="64"/>
    </row>
    <row r="181" spans="2:15" ht="24" customHeight="1" x14ac:dyDescent="0.25">
      <c r="B181" s="61" t="s">
        <v>599</v>
      </c>
      <c r="C181" s="461" t="s">
        <v>683</v>
      </c>
      <c r="D181" s="494"/>
      <c r="E181" s="495"/>
      <c r="F181" s="112">
        <f>in_kind_claimed_applicant-ineligible_claimed_in_kind_applicant+cash_costs_claimed_eligible_applicant</f>
        <v>0</v>
      </c>
      <c r="G181" s="112">
        <f>in_kind_claimed_partner1-ineligible_claimed_in_kind_partner1+cash_costs_claimed_eligible_partner1</f>
        <v>0</v>
      </c>
      <c r="H181" s="112">
        <f>in_kind_claimed_partner2-ineligible_claimed_in_kind_partner2+cash_costs_claimed_eligible_partner2</f>
        <v>0</v>
      </c>
      <c r="I181" s="112">
        <f>in_kind_claimed_partner3-ineligible_claimed_in_kind_partner3+cash_costs_claimed_eligible_partner3</f>
        <v>0</v>
      </c>
      <c r="J181" s="112">
        <f>in_kind_claimed_partner4-ineligible_claimed_in_kind_partner4+cash_costs_claimed_eligible_partner4</f>
        <v>0</v>
      </c>
      <c r="K181" s="65">
        <f>SUM(F181:J181)</f>
        <v>0</v>
      </c>
      <c r="L181" s="193"/>
      <c r="M181" s="193"/>
      <c r="N181" s="63"/>
      <c r="O181" s="64"/>
    </row>
    <row r="182" spans="2:15" s="35" customFormat="1" ht="6.75" customHeight="1" x14ac:dyDescent="0.25">
      <c r="B182" s="43"/>
      <c r="C182" s="66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5"/>
    </row>
    <row r="183" spans="2:15" s="35" customFormat="1" ht="30" customHeight="1" x14ac:dyDescent="0.25">
      <c r="B183" s="43"/>
      <c r="C183" s="44"/>
      <c r="D183" s="44"/>
      <c r="E183" s="44"/>
      <c r="F183" s="44"/>
      <c r="G183" s="44"/>
      <c r="H183" s="44"/>
      <c r="I183" s="381" t="s">
        <v>684</v>
      </c>
      <c r="J183" s="381" t="s">
        <v>685</v>
      </c>
      <c r="K183" s="381"/>
      <c r="L183" s="381"/>
      <c r="N183" s="45"/>
    </row>
    <row r="184" spans="2:15" ht="24" customHeight="1" x14ac:dyDescent="0.25">
      <c r="B184" s="115" t="s">
        <v>266</v>
      </c>
      <c r="C184" s="499" t="s">
        <v>569</v>
      </c>
      <c r="D184" s="499"/>
      <c r="E184" s="499"/>
      <c r="F184" s="499"/>
      <c r="G184" s="499"/>
      <c r="H184" s="499"/>
      <c r="I184" s="67" t="e">
        <f>(project_grant_settled_total+project_grant_costs_claimed_total)/net_payments_total</f>
        <v>#DIV/0!</v>
      </c>
      <c r="J184" s="67" t="e">
        <f>(project_grant_settled_total+project_grant_costs_claimed_eligible_total)/net_payments_total</f>
        <v>#DIV/0!</v>
      </c>
      <c r="N184" s="63"/>
      <c r="O184" s="64"/>
    </row>
    <row r="185" spans="2:15" s="35" customFormat="1" ht="6.75" customHeight="1" x14ac:dyDescent="0.25">
      <c r="B185" s="43"/>
      <c r="C185" s="66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5"/>
    </row>
    <row r="186" spans="2:15" ht="24" customHeight="1" x14ac:dyDescent="0.25">
      <c r="B186" s="315" t="s">
        <v>595</v>
      </c>
      <c r="C186" s="499" t="s">
        <v>656</v>
      </c>
      <c r="D186" s="499"/>
      <c r="E186" s="499"/>
      <c r="F186" s="499"/>
      <c r="G186" s="499"/>
      <c r="H186" s="499"/>
      <c r="I186" s="67">
        <f>(project_grant_settled_total+project_grant_costs_claimed_total)/grant_requested_total</f>
        <v>0</v>
      </c>
      <c r="J186" s="67">
        <f>(project_grant_settled_total+project_grant_costs_claimed_eligible_total)/grant_requested_total</f>
        <v>0</v>
      </c>
      <c r="N186" s="63"/>
      <c r="O186" s="64"/>
    </row>
    <row r="187" spans="2:15" s="35" customFormat="1" ht="6.75" customHeight="1" x14ac:dyDescent="0.25">
      <c r="B187" s="43"/>
      <c r="C187" s="66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5"/>
    </row>
    <row r="188" spans="2:15" ht="24" customHeight="1" x14ac:dyDescent="0.25">
      <c r="B188" s="115" t="s">
        <v>596</v>
      </c>
      <c r="C188" s="499" t="s">
        <v>571</v>
      </c>
      <c r="D188" s="499"/>
      <c r="E188" s="499"/>
      <c r="F188" s="499"/>
      <c r="G188" s="499"/>
      <c r="H188" s="499"/>
      <c r="I188" s="65">
        <f>IF(net_payments_total&gt;=(project_grant_settled_total+project_grant_costs_claimed_total),0,(project_grant_settled_total+project_grant_costs_claimed_total)-net_payments_total)</f>
        <v>0</v>
      </c>
      <c r="J188" s="65">
        <f>IF(net_payments_total&gt;=(project_grant_settled_total+project_grant_costs_claimed_eligible_total),0,(project_grant_settled_total+project_grant_costs_claimed_eligible_total)-net_payments_total)</f>
        <v>0</v>
      </c>
      <c r="N188" s="63"/>
      <c r="O188" s="64"/>
    </row>
    <row r="189" spans="2:15" s="35" customFormat="1" ht="6.75" customHeight="1" x14ac:dyDescent="0.25">
      <c r="B189" s="43"/>
      <c r="C189" s="66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5"/>
    </row>
    <row r="190" spans="2:15" ht="24" customHeight="1" x14ac:dyDescent="0.25">
      <c r="B190" s="115" t="s">
        <v>597</v>
      </c>
      <c r="C190" s="499" t="s">
        <v>319</v>
      </c>
      <c r="D190" s="499"/>
      <c r="E190" s="499"/>
      <c r="F190" s="499"/>
      <c r="G190" s="499"/>
      <c r="H190" s="499"/>
      <c r="I190" s="67">
        <f>IF(net_payments_total=0,0,ROUND(net_payments_total/grant_requested_total,4))</f>
        <v>0</v>
      </c>
      <c r="J190" s="67">
        <f>IF(net_payments_total=0,0,ROUND(net_payments_total/grant_requested_total,4))</f>
        <v>0</v>
      </c>
      <c r="N190" s="63"/>
      <c r="O190" s="64"/>
    </row>
    <row r="191" spans="2:15" s="35" customFormat="1" ht="6.75" customHeight="1" x14ac:dyDescent="0.25">
      <c r="B191" s="4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5"/>
    </row>
    <row r="192" spans="2:15" s="35" customFormat="1" ht="6.75" customHeight="1" x14ac:dyDescent="0.25">
      <c r="B192" s="4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5"/>
    </row>
    <row r="193" spans="2:15" ht="24" customHeight="1" x14ac:dyDescent="0.25">
      <c r="B193" s="305" t="s">
        <v>272</v>
      </c>
      <c r="C193" s="499" t="s">
        <v>572</v>
      </c>
      <c r="D193" s="499"/>
      <c r="E193" s="499"/>
      <c r="F193" s="499"/>
      <c r="G193" s="499"/>
      <c r="H193" s="499"/>
      <c r="I193" s="316" t="str">
        <f t="array" aca="1" ref="I193" ca="1">IF(OFFSET(payments_titles_row,1,MATCH(last_payment_paid,payments_titles_row,0))=0,"Záverečná platba",OFFSET(payments_titles_row,0,MATCH(last_payment_paid,payments_titles_row,0)))</f>
        <v>PP1</v>
      </c>
      <c r="N193" s="63"/>
      <c r="O193" s="64"/>
    </row>
    <row r="194" spans="2:15" s="35" customFormat="1" ht="6.75" customHeight="1" x14ac:dyDescent="0.25">
      <c r="B194" s="4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5"/>
    </row>
    <row r="195" spans="2:15" ht="24" customHeight="1" x14ac:dyDescent="0.25">
      <c r="B195" s="115" t="s">
        <v>273</v>
      </c>
      <c r="C195" s="303" t="s">
        <v>568</v>
      </c>
      <c r="D195" s="304"/>
      <c r="E195" s="304"/>
      <c r="F195" s="68" t="s">
        <v>559</v>
      </c>
      <c r="G195" s="68" t="s">
        <v>560</v>
      </c>
      <c r="H195" s="68" t="s">
        <v>558</v>
      </c>
      <c r="I195" s="68" t="s">
        <v>561</v>
      </c>
      <c r="J195" s="68" t="s">
        <v>562</v>
      </c>
      <c r="K195" s="68" t="s">
        <v>563</v>
      </c>
      <c r="L195" s="68" t="s">
        <v>564</v>
      </c>
      <c r="M195" s="68" t="s">
        <v>276</v>
      </c>
      <c r="N195" s="57"/>
    </row>
    <row r="196" spans="2:15" ht="24" customHeight="1" x14ac:dyDescent="0.25">
      <c r="B196" s="115" t="s">
        <v>598</v>
      </c>
      <c r="C196" s="311" t="s">
        <v>277</v>
      </c>
      <c r="D196" s="312"/>
      <c r="E196" s="312"/>
      <c r="F196" s="67">
        <v>0.15</v>
      </c>
      <c r="G196" s="67">
        <v>0.3</v>
      </c>
      <c r="H196" s="67">
        <v>0.25</v>
      </c>
      <c r="I196" s="67">
        <v>0.2</v>
      </c>
      <c r="J196" s="67">
        <v>0</v>
      </c>
      <c r="K196" s="67">
        <v>0</v>
      </c>
      <c r="L196" s="67">
        <v>0</v>
      </c>
      <c r="M196" s="67">
        <v>0.1</v>
      </c>
      <c r="N196" s="63"/>
      <c r="O196" s="64"/>
    </row>
    <row r="197" spans="2:15" s="35" customFormat="1" ht="6.75" customHeight="1" x14ac:dyDescent="0.25">
      <c r="B197" s="4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5"/>
    </row>
    <row r="198" spans="2:15" ht="24" customHeight="1" x14ac:dyDescent="0.25">
      <c r="B198" s="305" t="s">
        <v>599</v>
      </c>
      <c r="C198" s="499" t="s">
        <v>582</v>
      </c>
      <c r="D198" s="499"/>
      <c r="E198" s="499"/>
      <c r="F198" s="499"/>
      <c r="G198" s="499"/>
      <c r="H198" s="499"/>
      <c r="I198" s="316">
        <f t="array" aca="1" ref="I198" ca="1">IF(OFFSET(payments_titles_row,1,MATCH(last_payment_paid,payments_titles_row,0))=0,"Záverečná platba",OFFSET(payments_titles_row,1,MATCH(last_payment_paid,payments_titles_row,0)))</f>
        <v>0.3</v>
      </c>
      <c r="N198" s="63"/>
      <c r="O198" s="64"/>
    </row>
    <row r="199" spans="2:15" s="35" customFormat="1" ht="6.75" customHeight="1" x14ac:dyDescent="0.25">
      <c r="B199" s="4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5"/>
    </row>
    <row r="200" spans="2:15" ht="24" customHeight="1" x14ac:dyDescent="0.25">
      <c r="B200" s="305" t="s">
        <v>600</v>
      </c>
      <c r="C200" s="499" t="s">
        <v>565</v>
      </c>
      <c r="D200" s="499"/>
      <c r="E200" s="499"/>
      <c r="F200" s="499"/>
      <c r="G200" s="499"/>
      <c r="H200" s="499"/>
      <c r="I200" s="317">
        <f ca="1">IF(next_payment_title="Záverečná platba","Záverečná platba",grant_requested_total*next_payment_max_percentage)</f>
        <v>0.3</v>
      </c>
      <c r="N200" s="63"/>
      <c r="O200" s="64"/>
    </row>
    <row r="201" spans="2:15" s="35" customFormat="1" ht="6.75" customHeight="1" x14ac:dyDescent="0.25">
      <c r="B201" s="4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5"/>
    </row>
    <row r="202" spans="2:15" ht="24" customHeight="1" x14ac:dyDescent="0.25">
      <c r="B202" s="306" t="s">
        <v>278</v>
      </c>
      <c r="C202" s="461" t="s">
        <v>573</v>
      </c>
      <c r="D202" s="500"/>
      <c r="E202" s="500"/>
      <c r="F202" s="500"/>
      <c r="G202" s="500"/>
      <c r="H202" s="501"/>
      <c r="I202" s="318" t="s">
        <v>635</v>
      </c>
      <c r="N202" s="63"/>
      <c r="O202" s="64"/>
    </row>
    <row r="203" spans="2:15" s="35" customFormat="1" ht="6.75" customHeight="1" x14ac:dyDescent="0.25">
      <c r="B203" s="4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5"/>
    </row>
    <row r="204" spans="2:15" ht="24" customHeight="1" x14ac:dyDescent="0.25">
      <c r="B204" s="305" t="s">
        <v>601</v>
      </c>
      <c r="C204" s="499" t="s">
        <v>581</v>
      </c>
      <c r="D204" s="499"/>
      <c r="E204" s="499"/>
      <c r="F204" s="499"/>
      <c r="G204" s="499"/>
      <c r="H204" s="499"/>
      <c r="I204" s="317">
        <f ca="1">IF(next_payment_title="Záverečná platba","Záverečná platba",IF(retention_system="Áno",next_payment_max_amount*final_percentage,0))</f>
        <v>0</v>
      </c>
      <c r="N204" s="63"/>
      <c r="O204" s="64"/>
    </row>
    <row r="205" spans="2:15" s="35" customFormat="1" ht="6.75" customHeight="1" x14ac:dyDescent="0.25">
      <c r="B205" s="4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5"/>
    </row>
    <row r="206" spans="2:15" ht="24" customHeight="1" x14ac:dyDescent="0.25">
      <c r="B206" s="306" t="s">
        <v>245</v>
      </c>
      <c r="C206" s="499" t="s">
        <v>580</v>
      </c>
      <c r="D206" s="499"/>
      <c r="E206" s="499"/>
      <c r="F206" s="499"/>
      <c r="G206" s="499"/>
      <c r="H206" s="499"/>
      <c r="I206" s="317">
        <f ca="1">IF(next_payment_title="Záverečná platba",next_payment_max_amount,next_payment_max_amount-next_payment_retained_amount)</f>
        <v>0.3</v>
      </c>
      <c r="N206" s="63"/>
      <c r="O206" s="64"/>
    </row>
    <row r="207" spans="2:15" s="35" customFormat="1" ht="6.75" customHeight="1" x14ac:dyDescent="0.25">
      <c r="B207" s="4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5"/>
    </row>
    <row r="208" spans="2:15" s="35" customFormat="1" ht="30" customHeight="1" x14ac:dyDescent="0.25">
      <c r="B208" s="43"/>
      <c r="C208" s="44"/>
      <c r="D208" s="44"/>
      <c r="E208" s="44"/>
      <c r="F208" s="44"/>
      <c r="G208" s="44"/>
      <c r="H208" s="44"/>
      <c r="I208" s="381" t="s">
        <v>684</v>
      </c>
      <c r="J208" s="381" t="s">
        <v>685</v>
      </c>
      <c r="K208" s="381"/>
      <c r="L208" s="381"/>
      <c r="N208" s="45"/>
    </row>
    <row r="209" spans="2:18" ht="24" customHeight="1" x14ac:dyDescent="0.25">
      <c r="B209" s="315" t="s">
        <v>602</v>
      </c>
      <c r="C209" s="499" t="s">
        <v>579</v>
      </c>
      <c r="D209" s="499"/>
      <c r="E209" s="499"/>
      <c r="F209" s="499"/>
      <c r="G209" s="499"/>
      <c r="H209" s="499"/>
      <c r="I209" s="65" t="e">
        <f>IF(AND(grant_on_payments_settlement_percentage&gt;0.5,net_payments_total&lt;retention_limit_amount),"Áno","Nie")</f>
        <v>#DIV/0!</v>
      </c>
      <c r="J209" s="65" t="e">
        <f>IF(AND(grant_on_payments_settlement_percentage&gt;0.5,net_payments_total&lt;retention_limit_amount),"Áno","Nie")</f>
        <v>#DIV/0!</v>
      </c>
      <c r="N209" s="63"/>
      <c r="O209" s="64"/>
    </row>
    <row r="210" spans="2:18" s="35" customFormat="1" ht="6.75" customHeight="1" x14ac:dyDescent="0.25">
      <c r="B210" s="4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5"/>
    </row>
    <row r="211" spans="2:18" ht="24" customHeight="1" x14ac:dyDescent="0.25">
      <c r="B211" s="315" t="s">
        <v>603</v>
      </c>
      <c r="C211" s="499" t="s">
        <v>578</v>
      </c>
      <c r="D211" s="499"/>
      <c r="E211" s="499"/>
      <c r="F211" s="499"/>
      <c r="G211" s="499"/>
      <c r="H211" s="499"/>
      <c r="I211" s="317">
        <f ca="1">IF(next_payment_title="Záverečná platba","Záverečná platba",IF(net_payments_total+next_payment_payable_amount&gt;retention_limit_amount,retention_limit_amount-net_payments_total,next_payment_payable_amount))</f>
        <v>0.3</v>
      </c>
      <c r="N211" s="63"/>
      <c r="O211" s="64"/>
    </row>
    <row r="212" spans="2:18" s="35" customFormat="1" ht="30" customHeight="1" x14ac:dyDescent="0.25">
      <c r="B212" s="43"/>
      <c r="C212" s="44"/>
      <c r="D212" s="44"/>
      <c r="E212" s="44"/>
      <c r="F212" s="44"/>
      <c r="G212" s="44"/>
      <c r="H212" s="44"/>
      <c r="I212" s="44"/>
      <c r="J212" s="44"/>
      <c r="K212" s="381" t="s">
        <v>684</v>
      </c>
      <c r="L212" s="381" t="s">
        <v>685</v>
      </c>
      <c r="N212" s="45"/>
    </row>
    <row r="213" spans="2:18" ht="24" customHeight="1" x14ac:dyDescent="0.25">
      <c r="B213" s="115" t="s">
        <v>604</v>
      </c>
      <c r="C213" s="514" t="s">
        <v>577</v>
      </c>
      <c r="D213" s="515"/>
      <c r="E213" s="515"/>
      <c r="F213" s="515"/>
      <c r="G213" s="515"/>
      <c r="H213" s="515"/>
      <c r="I213" s="515"/>
      <c r="J213" s="515"/>
      <c r="K213" s="321" t="e">
        <f ca="1">IF(next_payment_title="Záverečná platba","Záverečná platba",IF(is_entitled_for_next_payment="Áno",ROUND(next_interim_payment_amount,0),0))</f>
        <v>#DIV/0!</v>
      </c>
      <c r="L213" s="321" t="e">
        <f ca="1">IF(next_payment_title="Záverečná platba","Záverečná platba",IF(net_is_entitled_for_next_payment="Áno",ROUND(next_interim_payment_amount,0),0))</f>
        <v>#DIV/0!</v>
      </c>
      <c r="M213" s="160"/>
      <c r="N213" s="63"/>
      <c r="O213" s="64"/>
    </row>
    <row r="214" spans="2:18" s="35" customFormat="1" ht="6.75" customHeight="1" x14ac:dyDescent="0.25">
      <c r="B214" s="43"/>
      <c r="C214" s="66" t="s">
        <v>274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5"/>
    </row>
    <row r="215" spans="2:18" ht="24" customHeight="1" x14ac:dyDescent="0.25">
      <c r="B215" s="69"/>
      <c r="C215" s="70" t="s">
        <v>606</v>
      </c>
      <c r="D215" s="650">
        <f>financial_mechanism</f>
        <v>0</v>
      </c>
      <c r="E215" s="651"/>
      <c r="F215" s="651"/>
      <c r="G215" s="651"/>
      <c r="H215" s="651"/>
      <c r="I215" s="651"/>
      <c r="J215" s="651"/>
      <c r="K215" s="322" t="e">
        <f ca="1">IF(next_payment_title="Záverečná platba","Záverečná platba",ROUND(next_interim_payment_amount_rounded*0.85,0))</f>
        <v>#DIV/0!</v>
      </c>
      <c r="L215" s="322" t="e">
        <f ca="1">IF(next_payment_title="Záverečná platba","Záverečná platba",ROUND(net_next_interim_payment_amount_rounded*0.85,0))</f>
        <v>#DIV/0!</v>
      </c>
      <c r="M215" s="159"/>
      <c r="N215" s="63"/>
      <c r="O215" s="64"/>
    </row>
    <row r="216" spans="2:18" s="35" customFormat="1" ht="6.75" customHeight="1" x14ac:dyDescent="0.25">
      <c r="B216" s="43"/>
      <c r="C216" s="44"/>
      <c r="D216" s="44"/>
      <c r="E216" s="44"/>
      <c r="F216" s="44"/>
      <c r="G216" s="44"/>
      <c r="H216" s="44"/>
      <c r="I216" s="44"/>
      <c r="J216" s="44"/>
      <c r="K216" s="323"/>
      <c r="L216" s="44"/>
      <c r="M216" s="44"/>
      <c r="N216" s="45"/>
    </row>
    <row r="217" spans="2:18" ht="24" customHeight="1" x14ac:dyDescent="0.25">
      <c r="B217" s="69"/>
      <c r="C217" s="70" t="s">
        <v>607</v>
      </c>
      <c r="D217" s="513" t="s">
        <v>275</v>
      </c>
      <c r="E217" s="513"/>
      <c r="F217" s="513"/>
      <c r="G217" s="513"/>
      <c r="H217" s="513"/>
      <c r="I217" s="513"/>
      <c r="J217" s="513"/>
      <c r="K217" s="324" t="e">
        <f ca="1">IF(next_payment_title="Záverečná platba","Záverečná platba",next_interim_payment_amount_rounded-next_payment_financial_mechanism_amount)</f>
        <v>#DIV/0!</v>
      </c>
      <c r="L217" s="324" t="e">
        <f ca="1">IF(next_payment_title="Záverečná platba","Záverečná platba",net_next_interim_payment_amount_rounded-net_next_payment_financial_mechanism_amount)</f>
        <v>#DIV/0!</v>
      </c>
      <c r="M217" s="159"/>
      <c r="N217" s="63"/>
      <c r="O217" s="64"/>
    </row>
    <row r="218" spans="2:18" s="35" customFormat="1" ht="6.75" customHeight="1" x14ac:dyDescent="0.25">
      <c r="B218" s="43"/>
      <c r="C218" s="44"/>
      <c r="D218" s="44"/>
      <c r="E218" s="44"/>
      <c r="F218" s="44"/>
      <c r="G218" s="44"/>
      <c r="H218" s="44"/>
      <c r="I218" s="44"/>
      <c r="J218" s="44"/>
      <c r="K218" s="323"/>
      <c r="L218" s="44"/>
      <c r="M218" s="44"/>
      <c r="N218" s="45"/>
    </row>
    <row r="219" spans="2:18" ht="24" customHeight="1" x14ac:dyDescent="0.25">
      <c r="B219" s="69"/>
      <c r="C219" s="70" t="s">
        <v>608</v>
      </c>
      <c r="D219" s="513" t="s">
        <v>575</v>
      </c>
      <c r="E219" s="513"/>
      <c r="F219" s="513"/>
      <c r="G219" s="513"/>
      <c r="H219" s="513"/>
      <c r="I219" s="513"/>
      <c r="J219" s="513"/>
      <c r="K219" s="324" t="e">
        <f ca="1">IF(next_payment_title="Záverečná platba","Záverečná platba",ROUND(next_interim_payment_amount_rounded*(1-grant_requested_total/total_eligible_cash_expenditure_total),0))</f>
        <v>#DIV/0!</v>
      </c>
      <c r="L219" s="324" t="e">
        <f ca="1">IF(next_payment_title="Záverečná platba","Záverečná platba",ROUND(net_next_interim_payment_amount_rounded*(1-grant_requested_total/total_eligible_cash_expenditure_total),0))</f>
        <v>#DIV/0!</v>
      </c>
      <c r="M219" s="159"/>
      <c r="N219" s="63"/>
      <c r="O219" s="64"/>
      <c r="Q219" s="71"/>
    </row>
    <row r="220" spans="2:18" s="35" customFormat="1" ht="6.75" customHeight="1" x14ac:dyDescent="0.25">
      <c r="B220" s="43"/>
      <c r="C220" s="44"/>
      <c r="D220" s="44"/>
      <c r="E220" s="44"/>
      <c r="F220" s="44"/>
      <c r="G220" s="44"/>
      <c r="H220" s="44"/>
      <c r="I220" s="44"/>
      <c r="J220" s="44"/>
      <c r="K220" s="323"/>
      <c r="L220" s="44"/>
      <c r="M220" s="44"/>
      <c r="N220" s="45"/>
    </row>
    <row r="221" spans="2:18" ht="24" customHeight="1" x14ac:dyDescent="0.25">
      <c r="B221" s="69"/>
      <c r="C221" s="70" t="s">
        <v>609</v>
      </c>
      <c r="D221" s="513" t="s">
        <v>576</v>
      </c>
      <c r="E221" s="513"/>
      <c r="F221" s="513"/>
      <c r="G221" s="513"/>
      <c r="H221" s="513"/>
      <c r="I221" s="513"/>
      <c r="J221" s="513"/>
      <c r="K221" s="324" t="e">
        <f ca="1">IF(next_payment_title="Záverečná platba","Záverečná platba",ROUND(next_interim_payment_amount_rounded*(in_kind_total/total_eligible_cash_expenditure_total),0))</f>
        <v>#DIV/0!</v>
      </c>
      <c r="L221" s="324" t="e">
        <f ca="1">IF(next_payment_title="Záverečná platba","Záverečná platba",ROUND(net_next_interim_payment_amount_rounded*(in_kind_total/total_eligible_cash_expenditure_total),0))</f>
        <v>#DIV/0!</v>
      </c>
      <c r="M221" s="159"/>
      <c r="N221" s="63"/>
      <c r="O221" s="64"/>
      <c r="Q221" s="71"/>
    </row>
    <row r="222" spans="2:18" s="35" customFormat="1" ht="6.75" customHeight="1" x14ac:dyDescent="0.25">
      <c r="B222" s="4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5"/>
    </row>
    <row r="223" spans="2:18" ht="24" customHeight="1" x14ac:dyDescent="0.25">
      <c r="B223" s="115" t="s">
        <v>605</v>
      </c>
      <c r="C223" s="514" t="s">
        <v>276</v>
      </c>
      <c r="D223" s="515"/>
      <c r="E223" s="515"/>
      <c r="F223" s="515"/>
      <c r="G223" s="515"/>
      <c r="H223" s="515"/>
      <c r="I223" s="515"/>
      <c r="J223" s="515"/>
      <c r="K223" s="320" t="str">
        <f ca="1">IF(AND(next_payment_title="Záverečná platba",is_final_report="Áno"),IF(project_grant_settled_total+project_grant_costs_claimed_total&gt;grant_requested_total,grant_requested_total-(project_grant_settled_total+project_grant_costs_claimed_total)-net_payments_total,(project_grant_settled_total+project_grant_costs_claimed_total)-net_payments_total),"N/A")</f>
        <v>N/A</v>
      </c>
      <c r="L223" s="320" t="str">
        <f ca="1">IF(AND(next_payment_title="Záverečná platba",is_final_report="Áno"),IF(project_grant_settled_total+project_grant_costs_claimed_eligible_total&gt;grant_requested_total,grant_requested_total-(project_grant_settled_total+project_grant_costs_claimed_eligible_total)-net_payments_total,(project_grant_settled_total+project_grant_costs_claimed_eligible_total)-net_payments_total),"N/A")</f>
        <v>N/A</v>
      </c>
      <c r="M223" s="160"/>
      <c r="N223" s="63"/>
      <c r="O223" s="64"/>
      <c r="Q223" s="72"/>
      <c r="R223" s="73"/>
    </row>
    <row r="224" spans="2:18" s="35" customFormat="1" ht="6.75" customHeight="1" x14ac:dyDescent="0.25">
      <c r="B224" s="43"/>
      <c r="C224" s="66" t="s">
        <v>274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5"/>
    </row>
    <row r="225" spans="2:18" ht="24" customHeight="1" x14ac:dyDescent="0.25">
      <c r="B225" s="69"/>
      <c r="C225" s="70" t="s">
        <v>612</v>
      </c>
      <c r="D225" s="650">
        <f>financial_mechanism</f>
        <v>0</v>
      </c>
      <c r="E225" s="651"/>
      <c r="F225" s="651"/>
      <c r="G225" s="651"/>
      <c r="H225" s="651"/>
      <c r="I225" s="651"/>
      <c r="J225" s="651"/>
      <c r="K225" s="319" t="str">
        <f ca="1">IF(final_payment_amount="N/A",final_payment_amount,IF(final_payment_amount&lt;=0,0,ROUND(final_payment_amount*0.85,0)))</f>
        <v>N/A</v>
      </c>
      <c r="L225" s="319" t="str">
        <f ca="1">IF(net_final_payment_amount="N/A",net_final_payment_amount,IF(net_final_payment_amount&lt;=0,0,ROUND(net_final_payment_amount*0.85,0)))</f>
        <v>N/A</v>
      </c>
      <c r="M225" s="159"/>
      <c r="N225" s="63"/>
      <c r="O225" s="64"/>
      <c r="R225" s="73"/>
    </row>
    <row r="226" spans="2:18" s="35" customFormat="1" ht="6.75" customHeight="1" x14ac:dyDescent="0.25">
      <c r="B226" s="4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5"/>
    </row>
    <row r="227" spans="2:18" ht="24" customHeight="1" x14ac:dyDescent="0.25">
      <c r="B227" s="69"/>
      <c r="C227" s="70" t="s">
        <v>611</v>
      </c>
      <c r="D227" s="513" t="s">
        <v>275</v>
      </c>
      <c r="E227" s="513"/>
      <c r="F227" s="513"/>
      <c r="G227" s="513"/>
      <c r="H227" s="513"/>
      <c r="I227" s="513"/>
      <c r="J227" s="513"/>
      <c r="K227" s="319" t="str">
        <f ca="1">IF(final_payment_amount="N/A",final_payment_amount,IF(final_payment_amount&lt;=0,0,ROUND(final_payment_amount-final_payment_financial_mechanism_amount,0)))</f>
        <v>N/A</v>
      </c>
      <c r="L227" s="319" t="str">
        <f ca="1">IF(net_final_payment_amount="N/A",net_final_payment_amount,IF(net_final_payment_amount&lt;=0,0,ROUND(net_final_payment_amount-net_final_payment_financial_mechanism_amount,0)))</f>
        <v>N/A</v>
      </c>
      <c r="M227" s="159"/>
      <c r="N227" s="63"/>
      <c r="O227" s="64"/>
      <c r="Q227" s="74"/>
      <c r="R227" s="73"/>
    </row>
    <row r="228" spans="2:18" s="35" customFormat="1" ht="6.75" customHeight="1" x14ac:dyDescent="0.25">
      <c r="B228" s="4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5"/>
    </row>
    <row r="229" spans="2:18" ht="24" customHeight="1" x14ac:dyDescent="0.25">
      <c r="B229" s="69"/>
      <c r="C229" s="70" t="s">
        <v>610</v>
      </c>
      <c r="D229" s="513" t="s">
        <v>575</v>
      </c>
      <c r="E229" s="513"/>
      <c r="F229" s="513"/>
      <c r="G229" s="513"/>
      <c r="H229" s="513"/>
      <c r="I229" s="513"/>
      <c r="J229" s="513"/>
      <c r="K229" s="324" t="str">
        <f ca="1">IF(next_payment_title="Záverečná platba",IF(final_payment_amount&lt;=0,-final_payment_amount,ROUND(next_interim_payment_amount_rounded*(1-grant_requested_total/total_eligible_cash_expenditure_total),0)),"N/A")</f>
        <v>N/A</v>
      </c>
      <c r="L229" s="324" t="str">
        <f ca="1">IF(next_payment_title="Záverečná platba",IF(net_final_payment_amount&lt;=0,-net_final_payment_amount,ROUND(net_next_interim_payment_amount_rounded*(1-grant_requested_total/total_eligible_cash_expenditure_total),0)),"N/A")</f>
        <v>N/A</v>
      </c>
      <c r="M229" s="159"/>
      <c r="N229" s="63"/>
      <c r="O229" s="64"/>
      <c r="Q229" s="71"/>
    </row>
    <row r="230" spans="2:18" s="35" customFormat="1" ht="6.75" customHeight="1" x14ac:dyDescent="0.25">
      <c r="B230" s="43"/>
      <c r="C230" s="66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5"/>
    </row>
    <row r="231" spans="2:18" ht="24" customHeight="1" x14ac:dyDescent="0.25">
      <c r="B231" s="315" t="s">
        <v>613</v>
      </c>
      <c r="C231" s="514" t="s">
        <v>583</v>
      </c>
      <c r="D231" s="515"/>
      <c r="E231" s="515"/>
      <c r="F231" s="515"/>
      <c r="G231" s="515"/>
      <c r="H231" s="515"/>
      <c r="I231" s="515"/>
      <c r="J231" s="515"/>
      <c r="K231" s="321">
        <f ca="1">IF(final_payment_amount="Záverečná platba","Záverečná platba",IF(project_grant_settled_total+project_grant_costs_claimed_total&gt;net_payments_total,ROUND(project_grant_settled_total+project_grant_costs_claimed_total-net_payments_total,2),0))</f>
        <v>0</v>
      </c>
      <c r="L231" s="321">
        <f ca="1">IF(final_payment_amount="Záverečná platba","Záverečná platba",IF(project_grant_settled_total+project_grant_costs_claimed_eligible_total&gt;net_payments_total,ROUND(project_grant_settled_total+project_grant_costs_claimed_eligible_total-net_payments_total,2),0))</f>
        <v>0</v>
      </c>
      <c r="M231" s="160"/>
      <c r="N231" s="63"/>
      <c r="O231" s="64"/>
      <c r="Q231" s="72"/>
      <c r="R231" s="73"/>
    </row>
    <row r="232" spans="2:18" s="35" customFormat="1" ht="6.75" customHeight="1" x14ac:dyDescent="0.25">
      <c r="B232" s="43"/>
      <c r="C232" s="66" t="s">
        <v>274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5"/>
    </row>
    <row r="233" spans="2:18" ht="24" customHeight="1" x14ac:dyDescent="0.25">
      <c r="B233" s="69"/>
      <c r="C233" s="70" t="s">
        <v>614</v>
      </c>
      <c r="D233" s="650">
        <f>financial_mechanism</f>
        <v>0</v>
      </c>
      <c r="E233" s="651"/>
      <c r="F233" s="651"/>
      <c r="G233" s="651"/>
      <c r="H233" s="651"/>
      <c r="I233" s="651"/>
      <c r="J233" s="651"/>
      <c r="K233" s="322">
        <f ca="1">IFERROR(ROUND(reimbursement_amount*0.85,2),0)</f>
        <v>0</v>
      </c>
      <c r="L233" s="322">
        <f ca="1">IFERROR(ROUND(net_reimbursement_amount*0.85,2),0)</f>
        <v>0</v>
      </c>
      <c r="M233" s="159"/>
      <c r="N233" s="63"/>
      <c r="O233" s="64"/>
      <c r="R233" s="73"/>
    </row>
    <row r="234" spans="2:18" s="35" customFormat="1" ht="6.75" customHeight="1" x14ac:dyDescent="0.25">
      <c r="B234" s="4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5"/>
    </row>
    <row r="235" spans="2:18" ht="24" customHeight="1" x14ac:dyDescent="0.25">
      <c r="B235" s="69"/>
      <c r="C235" s="70" t="s">
        <v>615</v>
      </c>
      <c r="D235" s="513" t="s">
        <v>275</v>
      </c>
      <c r="E235" s="513"/>
      <c r="F235" s="513"/>
      <c r="G235" s="513"/>
      <c r="H235" s="513"/>
      <c r="I235" s="513"/>
      <c r="J235" s="513"/>
      <c r="K235" s="324">
        <f ca="1">IFERROR(reimbursement_amount-reimbursement_financial_mechanism_amount,0)</f>
        <v>0</v>
      </c>
      <c r="L235" s="324">
        <f ca="1">IFERROR(net_reimbursement_amount-net_reimbursement_financial_mechanism_amount,0)</f>
        <v>0</v>
      </c>
      <c r="M235" s="159"/>
      <c r="N235" s="63"/>
      <c r="O235" s="64"/>
      <c r="Q235" s="74"/>
      <c r="R235" s="73"/>
    </row>
    <row r="236" spans="2:18" s="35" customFormat="1" ht="6.75" customHeight="1" x14ac:dyDescent="0.25">
      <c r="B236" s="4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5"/>
    </row>
    <row r="237" spans="2:18" ht="24" customHeight="1" x14ac:dyDescent="0.25">
      <c r="B237" s="370" t="s">
        <v>613</v>
      </c>
      <c r="C237" s="514" t="s">
        <v>696</v>
      </c>
      <c r="D237" s="515"/>
      <c r="E237" s="515"/>
      <c r="F237" s="515"/>
      <c r="G237" s="515"/>
      <c r="H237" s="515"/>
      <c r="I237" s="515"/>
      <c r="J237" s="515"/>
      <c r="K237" s="321">
        <f ca="1">IF(AND(reimbursement_amount="Záverečná platba",project_grant_costs_claimed_total&lt;net_payments_total),net_payments_total-project_grant_costs_claimed_total,0)</f>
        <v>0</v>
      </c>
      <c r="L237" s="321">
        <f ca="1">IF(AND(reimbursement_amount="Záverečná platba",project_grant_costs_claimed_eligible_total&lt;net_payments_total),net_payments_total-project_grant_costs_claimed_eligible_total,0)</f>
        <v>0</v>
      </c>
      <c r="M237" s="160"/>
      <c r="N237" s="63"/>
      <c r="O237" s="64"/>
      <c r="Q237" s="72"/>
      <c r="R237" s="73"/>
    </row>
    <row r="238" spans="2:18" s="35" customFormat="1" ht="6.75" customHeight="1" x14ac:dyDescent="0.25">
      <c r="B238" s="43"/>
      <c r="C238" s="66" t="s">
        <v>274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5"/>
    </row>
    <row r="239" spans="2:18" ht="24" customHeight="1" x14ac:dyDescent="0.25">
      <c r="B239" s="69"/>
      <c r="C239" s="70" t="s">
        <v>614</v>
      </c>
      <c r="D239" s="650">
        <f>financial_mechanism</f>
        <v>0</v>
      </c>
      <c r="E239" s="651"/>
      <c r="F239" s="651"/>
      <c r="G239" s="651"/>
      <c r="H239" s="651"/>
      <c r="I239" s="651"/>
      <c r="J239" s="651"/>
      <c r="K239" s="322">
        <f ca="1">IFERROR(ROUND(negative_balance*0.85,2),0)</f>
        <v>0</v>
      </c>
      <c r="L239" s="322">
        <f ca="1">IFERROR(ROUND(net_negative_balance*0.85,2),0)</f>
        <v>0</v>
      </c>
      <c r="M239" s="159"/>
      <c r="N239" s="63"/>
      <c r="O239" s="64"/>
      <c r="R239" s="73"/>
    </row>
    <row r="240" spans="2:18" s="35" customFormat="1" ht="6.75" customHeight="1" x14ac:dyDescent="0.25">
      <c r="B240" s="43"/>
      <c r="C240" s="44"/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5"/>
    </row>
    <row r="241" spans="2:18" ht="24" customHeight="1" x14ac:dyDescent="0.25">
      <c r="B241" s="69"/>
      <c r="C241" s="70" t="s">
        <v>615</v>
      </c>
      <c r="D241" s="513" t="s">
        <v>275</v>
      </c>
      <c r="E241" s="513"/>
      <c r="F241" s="513"/>
      <c r="G241" s="513"/>
      <c r="H241" s="513"/>
      <c r="I241" s="513"/>
      <c r="J241" s="513"/>
      <c r="K241" s="324">
        <f ca="1">IFERROR(negative_balance-negative_balance_financial_mechanism_amount,0)</f>
        <v>0</v>
      </c>
      <c r="L241" s="324">
        <f ca="1">IFERROR(net_negative_balance-net_negative_balance_financial_mechanism_amount,0)</f>
        <v>0</v>
      </c>
      <c r="M241" s="159"/>
      <c r="N241" s="63"/>
      <c r="O241" s="64"/>
      <c r="Q241" s="74"/>
      <c r="R241" s="73"/>
    </row>
    <row r="242" spans="2:18" s="35" customFormat="1" ht="6.75" customHeight="1" x14ac:dyDescent="0.25">
      <c r="B242" s="43"/>
      <c r="C242" s="44"/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5"/>
    </row>
    <row r="243" spans="2:18" ht="24" customHeight="1" x14ac:dyDescent="0.25">
      <c r="B243" s="315" t="s">
        <v>616</v>
      </c>
      <c r="C243" s="514" t="s">
        <v>584</v>
      </c>
      <c r="D243" s="515"/>
      <c r="E243" s="515"/>
      <c r="F243" s="515"/>
      <c r="G243" s="515"/>
      <c r="H243" s="515"/>
      <c r="I243" s="515"/>
      <c r="J243" s="515"/>
      <c r="K243" s="148"/>
      <c r="L243" s="160"/>
      <c r="M243" s="160"/>
      <c r="N243" s="63"/>
      <c r="O243" s="64"/>
      <c r="Q243" s="72"/>
      <c r="R243" s="73"/>
    </row>
    <row r="244" spans="2:18" s="35" customFormat="1" ht="6.75" customHeight="1" x14ac:dyDescent="0.25">
      <c r="B244" s="43"/>
      <c r="C244" s="66"/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5"/>
    </row>
    <row r="245" spans="2:18" s="35" customFormat="1" ht="30" customHeight="1" x14ac:dyDescent="0.25">
      <c r="B245" s="43"/>
      <c r="C245" s="44"/>
      <c r="D245" s="44"/>
      <c r="E245" s="44"/>
      <c r="F245" s="44"/>
      <c r="G245" s="44"/>
      <c r="H245" s="44"/>
      <c r="I245" s="381" t="s">
        <v>684</v>
      </c>
      <c r="J245" s="381" t="s">
        <v>685</v>
      </c>
      <c r="K245" s="381"/>
      <c r="L245" s="381"/>
      <c r="N245" s="45"/>
    </row>
    <row r="246" spans="2:18" ht="24" customHeight="1" x14ac:dyDescent="0.25">
      <c r="B246" s="306" t="s">
        <v>650</v>
      </c>
      <c r="C246" s="461" t="s">
        <v>566</v>
      </c>
      <c r="D246" s="462"/>
      <c r="E246" s="67">
        <f>1-final_percentage</f>
        <v>0.9</v>
      </c>
      <c r="F246" s="347" t="s">
        <v>652</v>
      </c>
      <c r="G246" s="461" t="s">
        <v>585</v>
      </c>
      <c r="H246" s="462"/>
      <c r="I246" s="65" t="e">
        <f ca="1">SUM(net_payments_total,next_interim_payment_amount_rounded,final_payment_amount)</f>
        <v>#DIV/0!</v>
      </c>
      <c r="J246" s="65" t="e">
        <f ca="1">SUM(net_payments_total,net_next_interim_payment_amount_rounded,final_payment_amount)</f>
        <v>#DIV/0!</v>
      </c>
      <c r="N246" s="63"/>
      <c r="O246" s="64"/>
    </row>
    <row r="247" spans="2:18" s="35" customFormat="1" ht="6.75" customHeight="1" x14ac:dyDescent="0.25">
      <c r="B247" s="43"/>
      <c r="C247" s="44"/>
      <c r="D247" s="44"/>
      <c r="E247" s="44"/>
      <c r="F247" s="348"/>
      <c r="G247" s="44"/>
      <c r="H247" s="44"/>
      <c r="I247" s="44"/>
      <c r="J247" s="44"/>
      <c r="K247" s="44"/>
      <c r="L247" s="44"/>
      <c r="M247" s="44"/>
      <c r="N247" s="45"/>
    </row>
    <row r="248" spans="2:18" ht="24" customHeight="1" x14ac:dyDescent="0.25">
      <c r="B248" s="306" t="s">
        <v>651</v>
      </c>
      <c r="C248" s="461" t="s">
        <v>567</v>
      </c>
      <c r="D248" s="462"/>
      <c r="E248" s="65">
        <f>ROUND(retention_limit_percentage*grant_requested_total,0)</f>
        <v>1</v>
      </c>
      <c r="F248" s="349" t="s">
        <v>653</v>
      </c>
      <c r="G248" s="461" t="s">
        <v>586</v>
      </c>
      <c r="H248" s="462"/>
      <c r="I248" s="67" t="e">
        <f ca="1">ROUND(total_amount_paid_if_approved/grant_requested_total,2)</f>
        <v>#DIV/0!</v>
      </c>
      <c r="J248" s="67" t="e">
        <f ca="1">ROUND(net_total_amount_paid_if_approved/grant_requested_total,2)</f>
        <v>#DIV/0!</v>
      </c>
      <c r="N248" s="63"/>
      <c r="O248" s="64"/>
    </row>
    <row r="249" spans="2:18" ht="6.75" customHeight="1" thickBot="1" x14ac:dyDescent="0.3">
      <c r="B249" s="58"/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60"/>
    </row>
    <row r="250" spans="2:18" ht="4.5" customHeight="1" x14ac:dyDescent="0.25"/>
    <row r="251" spans="2:18" ht="4.5" customHeight="1" thickBot="1" x14ac:dyDescent="0.3"/>
    <row r="252" spans="2:18" s="35" customFormat="1" ht="6.75" customHeight="1" thickBot="1" x14ac:dyDescent="0.3">
      <c r="B252" s="36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8"/>
    </row>
    <row r="253" spans="2:18" s="6" customFormat="1" ht="30" customHeight="1" thickBot="1" x14ac:dyDescent="0.3">
      <c r="B253" s="41" t="s">
        <v>127</v>
      </c>
      <c r="C253" s="165" t="s">
        <v>2</v>
      </c>
      <c r="D253" s="166"/>
      <c r="E253" s="166"/>
      <c r="F253" s="166"/>
      <c r="G253" s="166"/>
      <c r="H253" s="166"/>
      <c r="I253" s="166"/>
      <c r="J253" s="166"/>
      <c r="K253" s="166"/>
      <c r="L253" s="166"/>
      <c r="M253" s="167"/>
      <c r="N253" s="42"/>
    </row>
    <row r="254" spans="2:18" s="35" customFormat="1" ht="6.75" customHeight="1" x14ac:dyDescent="0.25">
      <c r="B254" s="43"/>
      <c r="C254" s="44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5"/>
    </row>
    <row r="255" spans="2:18" ht="24" customHeight="1" x14ac:dyDescent="0.25">
      <c r="B255" s="103" t="s">
        <v>296</v>
      </c>
      <c r="C255" s="499" t="s">
        <v>589</v>
      </c>
      <c r="D255" s="499"/>
      <c r="E255" s="499"/>
      <c r="F255" s="499"/>
      <c r="G255" s="499"/>
      <c r="H255" s="499"/>
      <c r="I255" s="339" t="s">
        <v>574</v>
      </c>
      <c r="N255" s="63"/>
      <c r="O255" s="64"/>
    </row>
    <row r="256" spans="2:18" s="35" customFormat="1" ht="6.75" customHeight="1" x14ac:dyDescent="0.25">
      <c r="B256" s="43"/>
      <c r="C256" s="66"/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5"/>
    </row>
    <row r="257" spans="2:15" ht="24" customHeight="1" x14ac:dyDescent="0.25">
      <c r="B257" s="103" t="s">
        <v>297</v>
      </c>
      <c r="C257" s="191" t="s">
        <v>587</v>
      </c>
      <c r="D257" s="192"/>
      <c r="E257" s="192"/>
      <c r="F257" s="137"/>
      <c r="G257" s="138"/>
      <c r="H257" s="55" t="s">
        <v>182</v>
      </c>
      <c r="I257" s="55" t="s">
        <v>183</v>
      </c>
      <c r="J257" s="55" t="s">
        <v>184</v>
      </c>
      <c r="K257" s="55" t="s">
        <v>185</v>
      </c>
      <c r="L257" s="55" t="s">
        <v>186</v>
      </c>
      <c r="M257" s="56" t="s">
        <v>144</v>
      </c>
      <c r="N257" s="57"/>
    </row>
    <row r="258" spans="2:15" ht="24" customHeight="1" x14ac:dyDescent="0.25">
      <c r="B258" s="103" t="s">
        <v>298</v>
      </c>
      <c r="C258" s="131" t="s">
        <v>588</v>
      </c>
      <c r="D258" s="132"/>
      <c r="E258" s="132"/>
      <c r="F258" s="145"/>
      <c r="G258" s="146"/>
      <c r="H258" s="339"/>
      <c r="I258" s="339"/>
      <c r="J258" s="339"/>
      <c r="K258" s="339"/>
      <c r="L258" s="339"/>
      <c r="M258" s="75" t="e">
        <f ca="1">IF(is_payment_requested&lt;&gt;"Áno",0,IF(next_interim_payment_amount_rounded="Záverečná platba",final_payment_amount,next_interim_payment_amount_rounded))</f>
        <v>#DIV/0!</v>
      </c>
      <c r="N258" s="63"/>
      <c r="O258" s="64"/>
    </row>
    <row r="259" spans="2:15" ht="24" customHeight="1" x14ac:dyDescent="0.25">
      <c r="B259" s="370" t="s">
        <v>333</v>
      </c>
      <c r="C259" s="372" t="s">
        <v>686</v>
      </c>
      <c r="D259" s="373"/>
      <c r="E259" s="373"/>
      <c r="F259" s="369"/>
      <c r="G259" s="146"/>
      <c r="H259" s="380"/>
      <c r="I259" s="380"/>
      <c r="J259" s="380"/>
      <c r="K259" s="380"/>
      <c r="L259" s="380"/>
      <c r="M259" s="75" t="e">
        <f ca="1">IF(is_payment_requested&lt;&gt;"Áno",0,IF(net_next_interim_payment_amount_rounded="Záverečná platba",net_final_payment_amount,net_next_interim_payment_amount_rounded))</f>
        <v>#DIV/0!</v>
      </c>
      <c r="N259" s="63"/>
      <c r="O259" s="64"/>
    </row>
    <row r="260" spans="2:15" s="35" customFormat="1" ht="6.75" customHeight="1" x14ac:dyDescent="0.25">
      <c r="B260" s="43"/>
      <c r="C260" s="66"/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5"/>
    </row>
    <row r="261" spans="2:15" ht="24" customHeight="1" x14ac:dyDescent="0.25">
      <c r="B261" s="111" t="s">
        <v>687</v>
      </c>
      <c r="C261" s="131" t="s">
        <v>655</v>
      </c>
      <c r="D261" s="132"/>
      <c r="E261" s="132"/>
      <c r="F261" s="145"/>
      <c r="G261" s="146"/>
      <c r="H261" s="112">
        <f>IF(project_grant_settled_applicant+project_grant_costs_claimed_applicant&gt;net_payments_applicant,ROUND(project_grant_settled_applicant+project_grant_costs_claimed_applicant-net_payments_applicant,2),0)</f>
        <v>0</v>
      </c>
      <c r="I261" s="112">
        <f>IF(project_grant_settled_partner1+project_grant_costs_claimed_partner1&gt;net_payments_partner1,ROUND(project_grant_settled_partner1+project_grant_costs_claimed_partner1-net_payments_partner1,2),0)</f>
        <v>0</v>
      </c>
      <c r="J261" s="112">
        <f>IF(project_grant_settled_partner2+project_grant_costs_claimed_partner2&gt;net_payments_partner2,ROUND(project_grant_settled_partner2+project_grant_costs_claimed_partner2-net_payments_partner2,2),0)</f>
        <v>0</v>
      </c>
      <c r="K261" s="112">
        <f>IF(project_grant_settled_partner3+project_grant_costs_claimed_partner3&gt;net_payments_partner3,ROUND(project_grant_settled_partner3+project_grant_costs_claimed_partner3-net_payments_partner3,2),0)</f>
        <v>0</v>
      </c>
      <c r="L261" s="112">
        <f>IF(project_grant_settled_partner4+project_grant_costs_claimed_partner4&gt;net_payments_partner4,ROUND(project_grant_settled_partner4+project_grant_costs_claimed_partner4-net_payments_partner4,2),0)</f>
        <v>0</v>
      </c>
      <c r="M261" s="75">
        <f>SUM(H261:L261)</f>
        <v>0</v>
      </c>
      <c r="N261" s="63"/>
      <c r="O261" s="64"/>
    </row>
    <row r="262" spans="2:15" ht="24" customHeight="1" x14ac:dyDescent="0.25">
      <c r="B262" s="370" t="s">
        <v>299</v>
      </c>
      <c r="C262" s="510" t="s">
        <v>688</v>
      </c>
      <c r="D262" s="480"/>
      <c r="E262" s="480"/>
      <c r="F262" s="480"/>
      <c r="G262" s="462"/>
      <c r="H262" s="112">
        <f>IF(project_grant_settled_applicant+project_grant_costs_claimed_eligible_applicant&gt;net_payments_applicant,ROUND(project_grant_settled_applicant+project_grant_costs_claimed_eligible_applicant-net_payments_applicant,2),0)</f>
        <v>0</v>
      </c>
      <c r="I262" s="112">
        <f>IF(project_grant_settled_partner1+project_grant_costs_claimed_eligible_partner1&gt;net_payments_partner1,ROUND(project_grant_settled_partner1+project_grant_costs_claimed_eligible_partner1-net_payments_partner1,2),0)</f>
        <v>0</v>
      </c>
      <c r="J262" s="112">
        <f>IF(project_grant_settled_partner2+project_grant_costs_claimed_eligible_partner2&gt;net_payments_partner2,ROUND(project_grant_settled_partner2+project_grant_costs_claimed_eligible_partner2-net_payments_partner2,2),0)</f>
        <v>0</v>
      </c>
      <c r="K262" s="112">
        <f>IF(project_grant_settled_partner3+project_grant_costs_claimed_eligible_partner3&gt;net_payments_partner3,ROUND(project_grant_settled_partner3+project_grant_costs_claimed_eligible_partner3-net_payments_partner3,2),0)</f>
        <v>0</v>
      </c>
      <c r="L262" s="112">
        <f>IF(project_grant_settled_partner4+project_grant_costs_claimed_eligible_partner4&gt;net_payments_partner4,ROUND(project_grant_settled_partner4+project_grant_costs_claimed_eligible_partner4-net_payments_partner4,2),0)</f>
        <v>0</v>
      </c>
      <c r="M262" s="75">
        <f>SUM(H262:L262)</f>
        <v>0</v>
      </c>
      <c r="N262" s="63"/>
      <c r="O262" s="64"/>
    </row>
    <row r="263" spans="2:15" s="35" customFormat="1" ht="6.75" customHeight="1" x14ac:dyDescent="0.25">
      <c r="B263" s="43"/>
      <c r="C263" s="66"/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5"/>
    </row>
    <row r="264" spans="2:15" ht="24" customHeight="1" x14ac:dyDescent="0.25">
      <c r="B264" s="103" t="s">
        <v>689</v>
      </c>
      <c r="C264" s="510" t="s">
        <v>347</v>
      </c>
      <c r="D264" s="480"/>
      <c r="E264" s="480"/>
      <c r="F264" s="480"/>
      <c r="G264" s="462"/>
      <c r="H264" s="75">
        <f>net_payments_applicant+next_interim_payment_amount_applicant</f>
        <v>0</v>
      </c>
      <c r="I264" s="75">
        <f>net_payments_partner1+next_interim_payment_amount_partner1</f>
        <v>0</v>
      </c>
      <c r="J264" s="75">
        <f>net_payments_partner2+next_interim_payment_amount_partner3</f>
        <v>0</v>
      </c>
      <c r="K264" s="75">
        <f>net_payments_partner3+next_interim_payment_amount_partner3</f>
        <v>0</v>
      </c>
      <c r="L264" s="75">
        <f>net_payments_partner4+next_interim_payment_amount_partner4</f>
        <v>0</v>
      </c>
      <c r="M264" s="75">
        <f>SUM(H264:L264)</f>
        <v>0</v>
      </c>
      <c r="N264" s="63"/>
      <c r="O264" s="64"/>
    </row>
    <row r="265" spans="2:15" ht="24" customHeight="1" x14ac:dyDescent="0.25">
      <c r="B265" s="370" t="s">
        <v>690</v>
      </c>
      <c r="C265" s="510" t="s">
        <v>691</v>
      </c>
      <c r="D265" s="480"/>
      <c r="E265" s="480"/>
      <c r="F265" s="480"/>
      <c r="G265" s="462"/>
      <c r="H265" s="75">
        <f>net_payments_applicant+net_next_interim_payment_amount_applicant</f>
        <v>0</v>
      </c>
      <c r="I265" s="75">
        <f>net_payments_partner1+net_next_interim_payment_amount_partner1</f>
        <v>0</v>
      </c>
      <c r="J265" s="75">
        <f>net_payments_partner2+net_next_interim_payment_amount_partner3</f>
        <v>0</v>
      </c>
      <c r="K265" s="75">
        <f>net_payments_partner3+net_next_interim_payment_amount_partner3</f>
        <v>0</v>
      </c>
      <c r="L265" s="75">
        <f>net_payments_partner4+net_next_interim_payment_amount_partner4</f>
        <v>0</v>
      </c>
      <c r="M265" s="75">
        <f>SUM(H265:L265)</f>
        <v>0</v>
      </c>
      <c r="N265" s="63"/>
      <c r="O265" s="64"/>
    </row>
    <row r="266" spans="2:15" s="35" customFormat="1" ht="6.75" customHeight="1" x14ac:dyDescent="0.25">
      <c r="B266" s="43"/>
      <c r="C266" s="66"/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5"/>
    </row>
    <row r="267" spans="2:15" ht="24" customHeight="1" x14ac:dyDescent="0.25">
      <c r="B267" s="103" t="s">
        <v>0</v>
      </c>
      <c r="C267" s="510" t="s">
        <v>361</v>
      </c>
      <c r="D267" s="480"/>
      <c r="E267" s="480"/>
      <c r="F267" s="480"/>
      <c r="G267" s="462"/>
      <c r="H267" s="75">
        <f>net_settled_expenses_applicant+project_grant_costs_claimed_applicant</f>
        <v>0</v>
      </c>
      <c r="I267" s="75">
        <f>net_settled_expenses_partner1+project_grant_costs_claimed_partner1</f>
        <v>0</v>
      </c>
      <c r="J267" s="75">
        <f>net_settled_expenses_partner2+project_grant_costs_claimed_partner2</f>
        <v>0</v>
      </c>
      <c r="K267" s="75">
        <f>net_settled_expenses_partner3+project_grant_costs_claimed_partner3</f>
        <v>0</v>
      </c>
      <c r="L267" s="75">
        <f>net_settled_expenses_partner4+project_grant_costs_claimed_partner4</f>
        <v>0</v>
      </c>
      <c r="M267" s="75">
        <f t="shared" ref="M267" si="18">SUM(H267:L267)</f>
        <v>0</v>
      </c>
      <c r="N267" s="63"/>
      <c r="O267" s="64"/>
    </row>
    <row r="268" spans="2:15" ht="24" customHeight="1" x14ac:dyDescent="0.25">
      <c r="B268" s="370" t="s">
        <v>1</v>
      </c>
      <c r="C268" s="510" t="s">
        <v>361</v>
      </c>
      <c r="D268" s="480"/>
      <c r="E268" s="480"/>
      <c r="F268" s="480"/>
      <c r="G268" s="462"/>
      <c r="H268" s="75">
        <f>net_settled_expenses_applicant+project_grant_costs_claimed_eligible_applicant</f>
        <v>0</v>
      </c>
      <c r="I268" s="75">
        <f>net_settled_expenses_partner1+project_grant_costs_claimed_eligible_partner1</f>
        <v>0</v>
      </c>
      <c r="J268" s="75">
        <f>net_settled_expenses_partner2+project_grant_costs_claimed_eligible_partner2</f>
        <v>0</v>
      </c>
      <c r="K268" s="75">
        <f>net_settled_expenses_partner3+project_grant_costs_claimed_eligible_partner3</f>
        <v>0</v>
      </c>
      <c r="L268" s="75">
        <f>net_settled_expenses_partner4+project_grant_costs_claimed_eligible_partner4</f>
        <v>0</v>
      </c>
      <c r="M268" s="75">
        <f t="shared" ref="M268" si="19">SUM(H268:L268)</f>
        <v>0</v>
      </c>
      <c r="N268" s="63"/>
      <c r="O268" s="64"/>
    </row>
    <row r="269" spans="2:15" s="35" customFormat="1" ht="6.75" customHeight="1" x14ac:dyDescent="0.25">
      <c r="B269" s="43"/>
      <c r="C269" s="66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5"/>
    </row>
    <row r="270" spans="2:15" ht="24" customHeight="1" x14ac:dyDescent="0.25">
      <c r="B270" s="111" t="s">
        <v>357</v>
      </c>
      <c r="C270" s="510" t="s">
        <v>346</v>
      </c>
      <c r="D270" s="480"/>
      <c r="E270" s="480"/>
      <c r="F270" s="480"/>
      <c r="G270" s="462"/>
      <c r="H270" s="76">
        <f>IF(grant_paid_after_approval_applicant&lt;&gt;0,ROUND(grant_settled_after_approval_applicant/grant_requested_applicant,2),0)</f>
        <v>0</v>
      </c>
      <c r="I270" s="76">
        <f>IF(grant_paid_after_approval_partner1&lt;&gt;0,ROUND(grant_settled_after_approval_partner1/grant_requested_partner1,2),0)</f>
        <v>0</v>
      </c>
      <c r="J270" s="76">
        <f>IF(grant_paid_after_approval_partner2&lt;&gt;0,ROUND(grant_settled_after_approval_partner2/grant_requested_partner2,2),0)</f>
        <v>0</v>
      </c>
      <c r="K270" s="76">
        <f>IF(grant_paid_after_approval_partner3&lt;&gt;0,ROUND(grant_settled_after_approval_partner3/grant_requested_partner3,2),0)</f>
        <v>0</v>
      </c>
      <c r="L270" s="76">
        <f>IF(grant_paid_after_approval_partner4&lt;&gt;0,ROUND(grant_settled_after_approval_partner4/grant_requested_partner4,2),0)</f>
        <v>0</v>
      </c>
      <c r="M270" s="76">
        <f>IF(grant_paid_after_approval_total&lt;&gt;0,ROUND(grant_settled_after_approval_total/grant_requested_total,2),0)</f>
        <v>0</v>
      </c>
      <c r="N270" s="63"/>
      <c r="O270" s="64"/>
    </row>
    <row r="271" spans="2:15" ht="24" customHeight="1" x14ac:dyDescent="0.25">
      <c r="B271" s="370" t="s">
        <v>617</v>
      </c>
      <c r="C271" s="510" t="s">
        <v>692</v>
      </c>
      <c r="D271" s="480"/>
      <c r="E271" s="480"/>
      <c r="F271" s="480"/>
      <c r="G271" s="462"/>
      <c r="H271" s="76">
        <f>IF(grant_paid_after_approval_applicant&lt;&gt;0,ROUND(grant_settled_after_approval_applicant/grant_requested_applicant,2),0)</f>
        <v>0</v>
      </c>
      <c r="I271" s="76">
        <f>IF(grant_paid_after_approval_partner1&lt;&gt;0,ROUND(grant_settled_after_approval_partner1/grant_requested_partner1,2),0)</f>
        <v>0</v>
      </c>
      <c r="J271" s="76">
        <f>IF(grant_paid_after_approval_partner2&lt;&gt;0,ROUND(grant_settled_after_approval_partner2/grant_requested_partner2,2),0)</f>
        <v>0</v>
      </c>
      <c r="K271" s="76">
        <f>IF(grant_paid_after_approval_partner3&lt;&gt;0,ROUND(grant_settled_after_approval_partner3/grant_requested_partner3,2),0)</f>
        <v>0</v>
      </c>
      <c r="L271" s="76">
        <f>IF(grant_paid_after_approval_partner4&lt;&gt;0,ROUND(grant_settled_after_approval_partner4/grant_requested_partner4,2),0)</f>
        <v>0</v>
      </c>
      <c r="M271" s="76">
        <f>IF(grant_paid_after_approval_total&lt;&gt;0,ROUND(grant_settled_after_approval_total/grant_requested_total,2),0)</f>
        <v>0</v>
      </c>
      <c r="N271" s="63"/>
      <c r="O271" s="64"/>
    </row>
    <row r="272" spans="2:15" s="35" customFormat="1" ht="6.75" customHeight="1" x14ac:dyDescent="0.25">
      <c r="B272" s="43"/>
      <c r="C272" s="66"/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5"/>
    </row>
    <row r="273" spans="2:15" ht="24" customHeight="1" x14ac:dyDescent="0.25">
      <c r="B273" s="120" t="s">
        <v>657</v>
      </c>
      <c r="C273" s="510" t="s">
        <v>662</v>
      </c>
      <c r="D273" s="480"/>
      <c r="E273" s="480"/>
      <c r="F273" s="480"/>
      <c r="G273" s="462"/>
      <c r="H273" s="75">
        <f>in_kind_settled_applicant+in_kind_claimed_applicant</f>
        <v>0</v>
      </c>
      <c r="I273" s="75">
        <f>in_kind_settled_partner1+in_kind_claimed_partner1</f>
        <v>0</v>
      </c>
      <c r="J273" s="75">
        <f>in_kind_settled_partner2+in_kind_claimed_partner2</f>
        <v>0</v>
      </c>
      <c r="K273" s="75">
        <f>in_kind_settled_partner3+in_kind_claimed_partner3</f>
        <v>0</v>
      </c>
      <c r="L273" s="75">
        <f>in_kind_settled_partner4+in_kind_claimed_partner4</f>
        <v>0</v>
      </c>
      <c r="M273" s="75">
        <f>SUM(H273:L273)</f>
        <v>0</v>
      </c>
      <c r="N273" s="63"/>
      <c r="O273" s="64"/>
    </row>
    <row r="274" spans="2:15" ht="24" customHeight="1" x14ac:dyDescent="0.25">
      <c r="B274" s="370" t="s">
        <v>661</v>
      </c>
      <c r="C274" s="510" t="s">
        <v>693</v>
      </c>
      <c r="D274" s="480"/>
      <c r="E274" s="480"/>
      <c r="F274" s="480"/>
      <c r="G274" s="462"/>
      <c r="H274" s="75">
        <f>in_kind_settled_applicant+in_kind_claimed_applicant-ineligible_claimed_in_kind_applicant</f>
        <v>0</v>
      </c>
      <c r="I274" s="75">
        <f>in_kind_settled_partner1+in_kind_claimed_partner1-ineligible_claimed_in_kind_partner1</f>
        <v>0</v>
      </c>
      <c r="J274" s="75">
        <f>in_kind_settled_partner2+in_kind_claimed_partner2-ineligible_claimed_in_kind_partner1</f>
        <v>0</v>
      </c>
      <c r="K274" s="75">
        <f>in_kind_settled_partner3+in_kind_claimed_partner3-ineligible_claimed_in_kind_partner1</f>
        <v>0</v>
      </c>
      <c r="L274" s="75">
        <f>in_kind_settled_partner4+in_kind_claimed_partner4-ineligible_claimed_in_kind_partner1</f>
        <v>0</v>
      </c>
      <c r="M274" s="75">
        <f>SUM(H274:L274)</f>
        <v>0</v>
      </c>
      <c r="N274" s="63"/>
      <c r="O274" s="64"/>
    </row>
    <row r="275" spans="2:15" s="35" customFormat="1" ht="6.75" customHeight="1" x14ac:dyDescent="0.25">
      <c r="B275" s="43"/>
      <c r="C275" s="66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5"/>
    </row>
    <row r="276" spans="2:15" ht="24" customHeight="1" x14ac:dyDescent="0.25">
      <c r="B276" s="362" t="s">
        <v>694</v>
      </c>
      <c r="C276" s="510" t="s">
        <v>658</v>
      </c>
      <c r="D276" s="480"/>
      <c r="E276" s="480"/>
      <c r="F276" s="480"/>
      <c r="G276" s="462"/>
      <c r="H276" s="76">
        <f>IFERROR(in_kind_acummulated_applicant/(total_costs_claimed_applicant-project_grant_costs_claimed_applicant),0)</f>
        <v>0</v>
      </c>
      <c r="I276" s="76">
        <f>IFERROR(in_kind_acummulated_partner1/(total_costs_claimed_partner1-project_grant_costs_claimed_partner1),0)</f>
        <v>0</v>
      </c>
      <c r="J276" s="76">
        <f>IFERROR(in_kind_acummulated_partner2/(total_costs_claimed_partner2-project_grant_costs_claimed_partner2),0)</f>
        <v>0</v>
      </c>
      <c r="K276" s="76">
        <f>IFERROR(in_kind_acummulated_partner3/(total_costs_claimed_partner3-project_grant_costs_claimed_partner3),0)</f>
        <v>0</v>
      </c>
      <c r="L276" s="76">
        <f>IFERROR(in_kind_acummulated_partner4/(total_costs_claimed_partner4-project_grant_costs_claimed_partner4),0)</f>
        <v>0</v>
      </c>
      <c r="M276" s="76">
        <f>IFERROR(in_kind_acummulated_total/(total_costs_claimed_total-project_grant_costs_claimed_total),0)</f>
        <v>0</v>
      </c>
      <c r="N276" s="63"/>
      <c r="O276" s="64"/>
    </row>
    <row r="277" spans="2:15" ht="24" customHeight="1" x14ac:dyDescent="0.25">
      <c r="B277" s="370" t="s">
        <v>694</v>
      </c>
      <c r="C277" s="510" t="s">
        <v>695</v>
      </c>
      <c r="D277" s="480"/>
      <c r="E277" s="480"/>
      <c r="F277" s="480"/>
      <c r="G277" s="462"/>
      <c r="H277" s="76">
        <f>IFERROR(in_kind_acummulated_applicant/(total_costs_claimed_applicant-project_grant_costs_claimed_applicant),0)</f>
        <v>0</v>
      </c>
      <c r="I277" s="76">
        <f>IFERROR(in_kind_acummulated_partner1/(total_costs_claimed_partner1-project_grant_costs_claimed_partner1),0)</f>
        <v>0</v>
      </c>
      <c r="J277" s="76">
        <f>IFERROR(in_kind_acummulated_partner2/(total_costs_claimed_partner2-project_grant_costs_claimed_partner2),0)</f>
        <v>0</v>
      </c>
      <c r="K277" s="76">
        <f>IFERROR(in_kind_acummulated_partner3/(total_costs_claimed_partner3-project_grant_costs_claimed_partner3),0)</f>
        <v>0</v>
      </c>
      <c r="L277" s="76">
        <f>IFERROR(in_kind_acummulated_partner4/(total_costs_claimed_partner4-project_grant_costs_claimed_partner4),0)</f>
        <v>0</v>
      </c>
      <c r="M277" s="76">
        <f>IFERROR(in_kind_acummulated_total/(total_costs_claimed_total-project_grant_costs_claimed_total),0)</f>
        <v>0</v>
      </c>
      <c r="N277" s="63"/>
      <c r="O277" s="64"/>
    </row>
    <row r="278" spans="2:15" ht="6.75" customHeight="1" thickBot="1" x14ac:dyDescent="0.3">
      <c r="B278" s="58"/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60"/>
    </row>
    <row r="279" spans="2:15" ht="4.5" customHeight="1" x14ac:dyDescent="0.25"/>
    <row r="280" spans="2:15" ht="4.5" customHeight="1" thickBot="1" x14ac:dyDescent="0.3"/>
    <row r="281" spans="2:15" ht="4.5" customHeight="1" thickBot="1" x14ac:dyDescent="0.3">
      <c r="B281" s="77"/>
      <c r="C281" s="78"/>
      <c r="D281" s="78"/>
      <c r="E281" s="78"/>
      <c r="F281" s="78"/>
      <c r="G281" s="78"/>
      <c r="H281" s="78"/>
      <c r="I281" s="78"/>
      <c r="J281" s="78"/>
      <c r="K281" s="78"/>
      <c r="L281" s="78"/>
      <c r="M281" s="219"/>
      <c r="N281" s="78"/>
    </row>
    <row r="282" spans="2:15" s="6" customFormat="1" ht="30" customHeight="1" thickBot="1" x14ac:dyDescent="0.3">
      <c r="B282" s="41" t="s">
        <v>128</v>
      </c>
      <c r="C282" s="165" t="s">
        <v>403</v>
      </c>
      <c r="D282" s="166"/>
      <c r="E282" s="166"/>
      <c r="F282" s="166"/>
      <c r="G282" s="166"/>
      <c r="H282" s="166"/>
      <c r="I282" s="166"/>
      <c r="J282" s="166"/>
      <c r="K282" s="166"/>
      <c r="L282" s="166"/>
      <c r="M282" s="167"/>
      <c r="N282" s="42"/>
    </row>
    <row r="283" spans="2:15" s="6" customFormat="1" ht="9" customHeight="1" thickBot="1" x14ac:dyDescent="0.3">
      <c r="B283" s="41"/>
      <c r="C283" s="161"/>
      <c r="D283" s="161"/>
      <c r="E283" s="161"/>
      <c r="F283" s="161"/>
      <c r="G283" s="161"/>
      <c r="H283" s="161"/>
      <c r="I283" s="161"/>
      <c r="J283" s="161"/>
      <c r="K283" s="161"/>
      <c r="L283" s="161"/>
      <c r="M283" s="161"/>
      <c r="N283" s="42"/>
    </row>
    <row r="284" spans="2:15" s="9" customFormat="1" ht="23.25" customHeight="1" thickBot="1" x14ac:dyDescent="0.3">
      <c r="B284" s="41" t="s">
        <v>283</v>
      </c>
      <c r="C284" s="220" t="s">
        <v>404</v>
      </c>
      <c r="D284" s="221"/>
      <c r="E284" s="221"/>
      <c r="F284" s="221"/>
      <c r="G284" s="221"/>
      <c r="H284" s="221"/>
      <c r="I284" s="222"/>
      <c r="J284" s="222"/>
      <c r="K284" s="222"/>
      <c r="L284" s="222"/>
      <c r="M284" s="223"/>
      <c r="N284" s="40"/>
    </row>
    <row r="285" spans="2:15" s="9" customFormat="1" ht="5.25" customHeight="1" x14ac:dyDescent="0.25">
      <c r="B285" s="212"/>
      <c r="C285" s="39"/>
      <c r="D285" s="39"/>
      <c r="E285" s="39"/>
      <c r="F285" s="39"/>
      <c r="G285" s="39"/>
      <c r="H285" s="39"/>
      <c r="I285" s="39"/>
      <c r="J285" s="211"/>
      <c r="K285" s="211"/>
      <c r="L285" s="211"/>
      <c r="M285" s="39"/>
      <c r="N285" s="40"/>
    </row>
    <row r="286" spans="2:15" s="204" customFormat="1" ht="32.25" customHeight="1" x14ac:dyDescent="0.25">
      <c r="B286" s="213"/>
      <c r="C286" s="590" t="s">
        <v>384</v>
      </c>
      <c r="D286" s="591"/>
      <c r="E286" s="644"/>
      <c r="F286" s="205" t="s">
        <v>385</v>
      </c>
      <c r="G286" s="205" t="s">
        <v>386</v>
      </c>
      <c r="H286" s="205" t="s">
        <v>279</v>
      </c>
      <c r="I286" s="205" t="s">
        <v>280</v>
      </c>
      <c r="J286" s="218" t="s">
        <v>281</v>
      </c>
      <c r="K286" s="487" t="s">
        <v>776</v>
      </c>
      <c r="L286" s="488"/>
      <c r="M286" s="205" t="s">
        <v>388</v>
      </c>
      <c r="N286" s="214"/>
    </row>
    <row r="287" spans="2:15" s="204" customFormat="1" ht="68.25" customHeight="1" x14ac:dyDescent="0.25">
      <c r="B287" s="41" t="s">
        <v>289</v>
      </c>
      <c r="C287" s="510"/>
      <c r="D287" s="511"/>
      <c r="E287" s="512"/>
      <c r="F287" s="116"/>
      <c r="G287" s="116"/>
      <c r="H287" s="231"/>
      <c r="I287" s="231"/>
      <c r="J287" s="232"/>
      <c r="K287" s="645"/>
      <c r="L287" s="503"/>
      <c r="M287" s="443"/>
      <c r="N287" s="214"/>
      <c r="O287" s="207"/>
    </row>
    <row r="288" spans="2:15" s="204" customFormat="1" ht="13.2" outlineLevel="1" x14ac:dyDescent="0.25">
      <c r="B288" s="41"/>
      <c r="C288" s="384"/>
      <c r="D288" s="385"/>
      <c r="E288" s="385"/>
      <c r="F288" s="386"/>
      <c r="G288" s="386"/>
      <c r="H288" s="411" t="s">
        <v>744</v>
      </c>
      <c r="I288" s="231"/>
      <c r="J288" s="232"/>
      <c r="K288" s="394"/>
      <c r="L288" s="392"/>
      <c r="M288" s="444"/>
      <c r="N288" s="214"/>
      <c r="O288" s="207"/>
    </row>
    <row r="289" spans="2:15" s="204" customFormat="1" ht="13.2" outlineLevel="1" x14ac:dyDescent="0.25">
      <c r="B289" s="41"/>
      <c r="C289" s="387"/>
      <c r="D289" s="308"/>
      <c r="E289" s="308"/>
      <c r="F289" s="388"/>
      <c r="G289" s="388"/>
      <c r="H289" s="410"/>
      <c r="I289" s="231"/>
      <c r="J289" s="232"/>
      <c r="K289" s="409"/>
      <c r="L289" s="393"/>
      <c r="M289" s="445"/>
      <c r="N289" s="214"/>
      <c r="O289" s="207"/>
    </row>
    <row r="290" spans="2:15" s="204" customFormat="1" ht="13.2" outlineLevel="1" x14ac:dyDescent="0.25">
      <c r="B290" s="41"/>
      <c r="C290" s="387"/>
      <c r="D290" s="308"/>
      <c r="E290" s="308"/>
      <c r="F290" s="388"/>
      <c r="G290" s="388"/>
      <c r="H290" s="410"/>
      <c r="I290" s="231"/>
      <c r="J290" s="232"/>
      <c r="K290" s="409"/>
      <c r="L290" s="393"/>
      <c r="M290" s="445"/>
      <c r="N290" s="214"/>
      <c r="O290" s="207"/>
    </row>
    <row r="291" spans="2:15" s="204" customFormat="1" ht="13.2" outlineLevel="1" x14ac:dyDescent="0.25">
      <c r="B291" s="41"/>
      <c r="C291" s="387"/>
      <c r="D291" s="308"/>
      <c r="E291" s="308"/>
      <c r="F291" s="388"/>
      <c r="G291" s="388"/>
      <c r="H291" s="410"/>
      <c r="I291" s="231"/>
      <c r="J291" s="232"/>
      <c r="K291" s="409"/>
      <c r="L291" s="393"/>
      <c r="M291" s="445"/>
      <c r="N291" s="214"/>
      <c r="O291" s="207"/>
    </row>
    <row r="292" spans="2:15" s="204" customFormat="1" ht="13.2" outlineLevel="1" x14ac:dyDescent="0.25">
      <c r="B292" s="41"/>
      <c r="C292" s="387"/>
      <c r="D292" s="308"/>
      <c r="E292" s="308"/>
      <c r="F292" s="388"/>
      <c r="G292" s="388"/>
      <c r="H292" s="410"/>
      <c r="I292" s="231"/>
      <c r="J292" s="232"/>
      <c r="K292" s="409"/>
      <c r="L292" s="393"/>
      <c r="M292" s="445"/>
      <c r="N292" s="214"/>
      <c r="O292" s="207"/>
    </row>
    <row r="293" spans="2:15" s="204" customFormat="1" ht="13.2" outlineLevel="1" x14ac:dyDescent="0.25">
      <c r="B293" s="41"/>
      <c r="C293" s="387"/>
      <c r="D293" s="308"/>
      <c r="E293" s="308"/>
      <c r="F293" s="388"/>
      <c r="G293" s="388"/>
      <c r="H293" s="410"/>
      <c r="I293" s="231"/>
      <c r="J293" s="232"/>
      <c r="K293" s="409"/>
      <c r="L293" s="393"/>
      <c r="M293" s="445"/>
      <c r="N293" s="214"/>
      <c r="O293" s="207"/>
    </row>
    <row r="294" spans="2:15" s="204" customFormat="1" ht="13.2" outlineLevel="1" x14ac:dyDescent="0.25">
      <c r="B294" s="41"/>
      <c r="C294" s="387"/>
      <c r="D294" s="308"/>
      <c r="E294" s="308"/>
      <c r="F294" s="388"/>
      <c r="G294" s="388"/>
      <c r="H294" s="410"/>
      <c r="I294" s="231"/>
      <c r="J294" s="232"/>
      <c r="K294" s="409"/>
      <c r="L294" s="393"/>
      <c r="M294" s="445"/>
      <c r="N294" s="214"/>
      <c r="O294" s="207"/>
    </row>
    <row r="295" spans="2:15" s="204" customFormat="1" ht="13.2" outlineLevel="1" x14ac:dyDescent="0.25">
      <c r="B295" s="41"/>
      <c r="C295" s="387"/>
      <c r="D295" s="308"/>
      <c r="E295" s="308"/>
      <c r="F295" s="388"/>
      <c r="G295" s="388"/>
      <c r="H295" s="410"/>
      <c r="I295" s="231"/>
      <c r="J295" s="232"/>
      <c r="K295" s="409"/>
      <c r="L295" s="393"/>
      <c r="M295" s="445"/>
      <c r="N295" s="214"/>
      <c r="O295" s="207"/>
    </row>
    <row r="296" spans="2:15" s="204" customFormat="1" ht="13.2" outlineLevel="1" x14ac:dyDescent="0.25">
      <c r="B296" s="41"/>
      <c r="C296" s="387"/>
      <c r="D296" s="308"/>
      <c r="E296" s="308"/>
      <c r="F296" s="388"/>
      <c r="G296" s="388"/>
      <c r="H296" s="410"/>
      <c r="I296" s="231"/>
      <c r="J296" s="232"/>
      <c r="K296" s="409"/>
      <c r="L296" s="393"/>
      <c r="M296" s="445"/>
      <c r="N296" s="214"/>
      <c r="O296" s="207"/>
    </row>
    <row r="297" spans="2:15" s="204" customFormat="1" ht="13.2" outlineLevel="1" x14ac:dyDescent="0.25">
      <c r="B297" s="41"/>
      <c r="C297" s="387"/>
      <c r="D297" s="308"/>
      <c r="E297" s="308"/>
      <c r="F297" s="388"/>
      <c r="G297" s="388"/>
      <c r="H297" s="410"/>
      <c r="I297" s="231"/>
      <c r="J297" s="232"/>
      <c r="K297" s="409"/>
      <c r="L297" s="393"/>
      <c r="M297" s="445"/>
      <c r="N297" s="214"/>
      <c r="O297" s="207"/>
    </row>
    <row r="298" spans="2:15" s="204" customFormat="1" ht="13.2" outlineLevel="1" x14ac:dyDescent="0.25">
      <c r="B298" s="41"/>
      <c r="C298" s="387"/>
      <c r="D298" s="308"/>
      <c r="E298" s="308"/>
      <c r="F298" s="388"/>
      <c r="G298" s="388"/>
      <c r="H298" s="410"/>
      <c r="I298" s="231"/>
      <c r="J298" s="232"/>
      <c r="K298" s="409"/>
      <c r="L298" s="393"/>
      <c r="M298" s="445"/>
      <c r="N298" s="214"/>
      <c r="O298" s="207"/>
    </row>
    <row r="299" spans="2:15" s="204" customFormat="1" ht="13.2" outlineLevel="1" x14ac:dyDescent="0.25">
      <c r="B299" s="41"/>
      <c r="C299" s="389"/>
      <c r="D299" s="390"/>
      <c r="E299" s="390"/>
      <c r="F299" s="391"/>
      <c r="G299" s="391"/>
      <c r="H299" s="405"/>
      <c r="I299" s="231"/>
      <c r="J299" s="232"/>
      <c r="K299" s="408"/>
      <c r="L299" s="395"/>
      <c r="M299" s="446"/>
      <c r="N299" s="214"/>
      <c r="O299" s="207"/>
    </row>
    <row r="300" spans="2:15" s="204" customFormat="1" ht="68.25" customHeight="1" x14ac:dyDescent="0.25">
      <c r="B300" s="41" t="s">
        <v>284</v>
      </c>
      <c r="C300" s="510"/>
      <c r="D300" s="511"/>
      <c r="E300" s="512"/>
      <c r="F300" s="116"/>
      <c r="G300" s="116"/>
      <c r="H300" s="231"/>
      <c r="I300" s="231"/>
      <c r="J300" s="232"/>
      <c r="K300" s="502"/>
      <c r="L300" s="503"/>
      <c r="M300" s="443"/>
      <c r="N300" s="214"/>
      <c r="O300" s="207"/>
    </row>
    <row r="301" spans="2:15" s="204" customFormat="1" ht="13.2" outlineLevel="1" x14ac:dyDescent="0.25">
      <c r="B301" s="41"/>
      <c r="C301" s="384"/>
      <c r="D301" s="385"/>
      <c r="E301" s="385"/>
      <c r="F301" s="386"/>
      <c r="G301" s="386"/>
      <c r="H301" s="411" t="s">
        <v>744</v>
      </c>
      <c r="I301" s="231"/>
      <c r="J301" s="232"/>
      <c r="K301" s="394"/>
      <c r="L301" s="392"/>
      <c r="M301" s="444"/>
      <c r="N301" s="214"/>
      <c r="O301" s="207"/>
    </row>
    <row r="302" spans="2:15" s="204" customFormat="1" ht="13.2" outlineLevel="1" x14ac:dyDescent="0.25">
      <c r="B302" s="41"/>
      <c r="C302" s="387"/>
      <c r="D302" s="308"/>
      <c r="E302" s="308"/>
      <c r="F302" s="388"/>
      <c r="G302" s="388"/>
      <c r="H302" s="410"/>
      <c r="I302" s="231"/>
      <c r="J302" s="232"/>
      <c r="K302" s="409"/>
      <c r="L302" s="393"/>
      <c r="M302" s="445"/>
      <c r="N302" s="214"/>
      <c r="O302" s="207"/>
    </row>
    <row r="303" spans="2:15" s="204" customFormat="1" ht="13.2" outlineLevel="1" x14ac:dyDescent="0.25">
      <c r="B303" s="41"/>
      <c r="C303" s="387"/>
      <c r="D303" s="308"/>
      <c r="E303" s="308"/>
      <c r="F303" s="388"/>
      <c r="G303" s="388"/>
      <c r="H303" s="410"/>
      <c r="I303" s="231"/>
      <c r="J303" s="232"/>
      <c r="K303" s="409"/>
      <c r="L303" s="393"/>
      <c r="M303" s="445"/>
      <c r="N303" s="214"/>
      <c r="O303" s="207"/>
    </row>
    <row r="304" spans="2:15" s="204" customFormat="1" ht="13.2" outlineLevel="1" x14ac:dyDescent="0.25">
      <c r="B304" s="41"/>
      <c r="C304" s="387"/>
      <c r="D304" s="308"/>
      <c r="E304" s="308"/>
      <c r="F304" s="388"/>
      <c r="G304" s="388"/>
      <c r="H304" s="410"/>
      <c r="I304" s="231"/>
      <c r="J304" s="232"/>
      <c r="K304" s="409"/>
      <c r="L304" s="393"/>
      <c r="M304" s="445"/>
      <c r="N304" s="214"/>
      <c r="O304" s="207"/>
    </row>
    <row r="305" spans="2:15" s="204" customFormat="1" ht="13.2" outlineLevel="1" x14ac:dyDescent="0.25">
      <c r="B305" s="41"/>
      <c r="C305" s="387"/>
      <c r="D305" s="308"/>
      <c r="E305" s="308"/>
      <c r="F305" s="388"/>
      <c r="G305" s="388"/>
      <c r="H305" s="410"/>
      <c r="I305" s="231"/>
      <c r="J305" s="232"/>
      <c r="K305" s="409"/>
      <c r="L305" s="393"/>
      <c r="M305" s="445"/>
      <c r="N305" s="214"/>
      <c r="O305" s="207"/>
    </row>
    <row r="306" spans="2:15" s="204" customFormat="1" ht="13.2" outlineLevel="1" x14ac:dyDescent="0.25">
      <c r="B306" s="41"/>
      <c r="C306" s="387"/>
      <c r="D306" s="308"/>
      <c r="E306" s="308"/>
      <c r="F306" s="388"/>
      <c r="G306" s="388"/>
      <c r="H306" s="410"/>
      <c r="I306" s="231"/>
      <c r="J306" s="232"/>
      <c r="K306" s="409"/>
      <c r="L306" s="393"/>
      <c r="M306" s="445"/>
      <c r="N306" s="214"/>
      <c r="O306" s="207"/>
    </row>
    <row r="307" spans="2:15" s="204" customFormat="1" ht="13.2" outlineLevel="1" x14ac:dyDescent="0.25">
      <c r="B307" s="41"/>
      <c r="C307" s="387"/>
      <c r="D307" s="308"/>
      <c r="E307" s="308"/>
      <c r="F307" s="388"/>
      <c r="G307" s="388"/>
      <c r="H307" s="410"/>
      <c r="I307" s="231"/>
      <c r="J307" s="232"/>
      <c r="K307" s="409"/>
      <c r="L307" s="393"/>
      <c r="M307" s="445"/>
      <c r="N307" s="214"/>
      <c r="O307" s="207"/>
    </row>
    <row r="308" spans="2:15" s="204" customFormat="1" ht="13.2" outlineLevel="1" x14ac:dyDescent="0.25">
      <c r="B308" s="41"/>
      <c r="C308" s="387"/>
      <c r="D308" s="308"/>
      <c r="E308" s="308"/>
      <c r="F308" s="388"/>
      <c r="G308" s="388"/>
      <c r="H308" s="410"/>
      <c r="I308" s="231"/>
      <c r="J308" s="232"/>
      <c r="K308" s="409"/>
      <c r="L308" s="393"/>
      <c r="M308" s="445"/>
      <c r="N308" s="214"/>
      <c r="O308" s="207"/>
    </row>
    <row r="309" spans="2:15" s="204" customFormat="1" ht="13.2" outlineLevel="1" x14ac:dyDescent="0.25">
      <c r="B309" s="41"/>
      <c r="C309" s="387"/>
      <c r="D309" s="308"/>
      <c r="E309" s="308"/>
      <c r="F309" s="388"/>
      <c r="G309" s="388"/>
      <c r="H309" s="410"/>
      <c r="I309" s="231"/>
      <c r="J309" s="232"/>
      <c r="K309" s="409"/>
      <c r="L309" s="393"/>
      <c r="M309" s="445"/>
      <c r="N309" s="214"/>
      <c r="O309" s="207"/>
    </row>
    <row r="310" spans="2:15" s="204" customFormat="1" ht="13.2" outlineLevel="1" x14ac:dyDescent="0.25">
      <c r="B310" s="41"/>
      <c r="C310" s="387"/>
      <c r="D310" s="308"/>
      <c r="E310" s="308"/>
      <c r="F310" s="388"/>
      <c r="G310" s="388"/>
      <c r="H310" s="410"/>
      <c r="I310" s="231"/>
      <c r="J310" s="232"/>
      <c r="K310" s="409"/>
      <c r="L310" s="393"/>
      <c r="M310" s="445"/>
      <c r="N310" s="214"/>
      <c r="O310" s="207"/>
    </row>
    <row r="311" spans="2:15" s="204" customFormat="1" ht="13.2" outlineLevel="1" x14ac:dyDescent="0.25">
      <c r="B311" s="41"/>
      <c r="C311" s="387"/>
      <c r="D311" s="308"/>
      <c r="E311" s="308"/>
      <c r="F311" s="388"/>
      <c r="G311" s="388"/>
      <c r="H311" s="410"/>
      <c r="I311" s="231"/>
      <c r="J311" s="232"/>
      <c r="K311" s="409"/>
      <c r="L311" s="393"/>
      <c r="M311" s="445"/>
      <c r="N311" s="214"/>
      <c r="O311" s="207"/>
    </row>
    <row r="312" spans="2:15" s="204" customFormat="1" ht="13.2" outlineLevel="1" x14ac:dyDescent="0.25">
      <c r="B312" s="41"/>
      <c r="C312" s="389"/>
      <c r="D312" s="390"/>
      <c r="E312" s="390"/>
      <c r="F312" s="391"/>
      <c r="G312" s="391"/>
      <c r="H312" s="405"/>
      <c r="I312" s="231"/>
      <c r="J312" s="232"/>
      <c r="K312" s="408"/>
      <c r="L312" s="395"/>
      <c r="M312" s="446"/>
      <c r="N312" s="214"/>
      <c r="O312" s="207"/>
    </row>
    <row r="313" spans="2:15" s="204" customFormat="1" ht="68.25" customHeight="1" x14ac:dyDescent="0.25">
      <c r="B313" s="41" t="s">
        <v>285</v>
      </c>
      <c r="C313" s="510"/>
      <c r="D313" s="511"/>
      <c r="E313" s="512"/>
      <c r="F313" s="116"/>
      <c r="G313" s="116"/>
      <c r="H313" s="231"/>
      <c r="I313" s="231"/>
      <c r="J313" s="232"/>
      <c r="K313" s="502"/>
      <c r="L313" s="503"/>
      <c r="M313" s="443"/>
      <c r="N313" s="214"/>
    </row>
    <row r="314" spans="2:15" s="204" customFormat="1" ht="13.2" outlineLevel="1" x14ac:dyDescent="0.25">
      <c r="B314" s="41"/>
      <c r="C314" s="384"/>
      <c r="D314" s="385"/>
      <c r="E314" s="385"/>
      <c r="F314" s="386"/>
      <c r="G314" s="386"/>
      <c r="H314" s="411" t="s">
        <v>744</v>
      </c>
      <c r="I314" s="231"/>
      <c r="J314" s="232"/>
      <c r="K314" s="394"/>
      <c r="L314" s="392"/>
      <c r="M314" s="444"/>
      <c r="N314" s="214"/>
      <c r="O314" s="207"/>
    </row>
    <row r="315" spans="2:15" s="204" customFormat="1" ht="13.2" outlineLevel="1" x14ac:dyDescent="0.25">
      <c r="B315" s="41"/>
      <c r="C315" s="387"/>
      <c r="D315" s="308"/>
      <c r="E315" s="308"/>
      <c r="F315" s="388"/>
      <c r="G315" s="388"/>
      <c r="H315" s="410"/>
      <c r="I315" s="231"/>
      <c r="J315" s="232"/>
      <c r="K315" s="409"/>
      <c r="L315" s="393"/>
      <c r="M315" s="445"/>
      <c r="N315" s="214"/>
      <c r="O315" s="207"/>
    </row>
    <row r="316" spans="2:15" s="204" customFormat="1" ht="13.2" outlineLevel="1" x14ac:dyDescent="0.25">
      <c r="B316" s="41"/>
      <c r="C316" s="387"/>
      <c r="D316" s="308"/>
      <c r="E316" s="308"/>
      <c r="F316" s="388"/>
      <c r="G316" s="388"/>
      <c r="H316" s="410"/>
      <c r="I316" s="231"/>
      <c r="J316" s="232"/>
      <c r="K316" s="409"/>
      <c r="L316" s="393"/>
      <c r="M316" s="445"/>
      <c r="N316" s="214"/>
      <c r="O316" s="207"/>
    </row>
    <row r="317" spans="2:15" s="204" customFormat="1" ht="13.2" outlineLevel="1" x14ac:dyDescent="0.25">
      <c r="B317" s="41"/>
      <c r="C317" s="387"/>
      <c r="D317" s="308"/>
      <c r="E317" s="308"/>
      <c r="F317" s="388"/>
      <c r="G317" s="388"/>
      <c r="H317" s="410"/>
      <c r="I317" s="231"/>
      <c r="J317" s="232"/>
      <c r="K317" s="409"/>
      <c r="L317" s="393"/>
      <c r="M317" s="445"/>
      <c r="N317" s="214"/>
      <c r="O317" s="207"/>
    </row>
    <row r="318" spans="2:15" s="204" customFormat="1" ht="13.2" outlineLevel="1" x14ac:dyDescent="0.25">
      <c r="B318" s="41"/>
      <c r="C318" s="387"/>
      <c r="D318" s="308"/>
      <c r="E318" s="308"/>
      <c r="F318" s="388"/>
      <c r="G318" s="388"/>
      <c r="H318" s="410"/>
      <c r="I318" s="231"/>
      <c r="J318" s="232"/>
      <c r="K318" s="409"/>
      <c r="L318" s="393"/>
      <c r="M318" s="445"/>
      <c r="N318" s="214"/>
      <c r="O318" s="207"/>
    </row>
    <row r="319" spans="2:15" s="204" customFormat="1" ht="13.2" outlineLevel="1" x14ac:dyDescent="0.25">
      <c r="B319" s="41"/>
      <c r="C319" s="387"/>
      <c r="D319" s="308"/>
      <c r="E319" s="308"/>
      <c r="F319" s="388"/>
      <c r="G319" s="388"/>
      <c r="H319" s="410"/>
      <c r="I319" s="231"/>
      <c r="J319" s="232"/>
      <c r="K319" s="409"/>
      <c r="L319" s="393"/>
      <c r="M319" s="445"/>
      <c r="N319" s="214"/>
      <c r="O319" s="207"/>
    </row>
    <row r="320" spans="2:15" s="204" customFormat="1" ht="13.2" outlineLevel="1" x14ac:dyDescent="0.25">
      <c r="B320" s="41"/>
      <c r="C320" s="387"/>
      <c r="D320" s="308"/>
      <c r="E320" s="308"/>
      <c r="F320" s="388"/>
      <c r="G320" s="388"/>
      <c r="H320" s="410"/>
      <c r="I320" s="231"/>
      <c r="J320" s="232"/>
      <c r="K320" s="409"/>
      <c r="L320" s="393"/>
      <c r="M320" s="445"/>
      <c r="N320" s="214"/>
      <c r="O320" s="207"/>
    </row>
    <row r="321" spans="2:15" s="204" customFormat="1" ht="13.2" outlineLevel="1" x14ac:dyDescent="0.25">
      <c r="B321" s="41"/>
      <c r="C321" s="387"/>
      <c r="D321" s="308"/>
      <c r="E321" s="308"/>
      <c r="F321" s="388"/>
      <c r="G321" s="388"/>
      <c r="H321" s="410"/>
      <c r="I321" s="231"/>
      <c r="J321" s="232"/>
      <c r="K321" s="409"/>
      <c r="L321" s="393"/>
      <c r="M321" s="445"/>
      <c r="N321" s="214"/>
      <c r="O321" s="207"/>
    </row>
    <row r="322" spans="2:15" s="204" customFormat="1" ht="13.2" outlineLevel="1" x14ac:dyDescent="0.25">
      <c r="B322" s="41"/>
      <c r="C322" s="387"/>
      <c r="D322" s="308"/>
      <c r="E322" s="308"/>
      <c r="F322" s="388"/>
      <c r="G322" s="388"/>
      <c r="H322" s="410"/>
      <c r="I322" s="231"/>
      <c r="J322" s="232"/>
      <c r="K322" s="409"/>
      <c r="L322" s="393"/>
      <c r="M322" s="445"/>
      <c r="N322" s="214"/>
      <c r="O322" s="207"/>
    </row>
    <row r="323" spans="2:15" s="204" customFormat="1" ht="13.2" outlineLevel="1" x14ac:dyDescent="0.25">
      <c r="B323" s="41"/>
      <c r="C323" s="387"/>
      <c r="D323" s="308"/>
      <c r="E323" s="308"/>
      <c r="F323" s="388"/>
      <c r="G323" s="388"/>
      <c r="H323" s="410"/>
      <c r="I323" s="231"/>
      <c r="J323" s="232"/>
      <c r="K323" s="409"/>
      <c r="L323" s="393"/>
      <c r="M323" s="445"/>
      <c r="N323" s="214"/>
      <c r="O323" s="207"/>
    </row>
    <row r="324" spans="2:15" s="204" customFormat="1" ht="13.2" outlineLevel="1" x14ac:dyDescent="0.25">
      <c r="B324" s="41"/>
      <c r="C324" s="387"/>
      <c r="D324" s="308"/>
      <c r="E324" s="308"/>
      <c r="F324" s="388"/>
      <c r="G324" s="388"/>
      <c r="H324" s="410"/>
      <c r="I324" s="231"/>
      <c r="J324" s="232"/>
      <c r="K324" s="409"/>
      <c r="L324" s="393"/>
      <c r="M324" s="445"/>
      <c r="N324" s="214"/>
      <c r="O324" s="207"/>
    </row>
    <row r="325" spans="2:15" s="204" customFormat="1" ht="13.2" outlineLevel="1" x14ac:dyDescent="0.25">
      <c r="B325" s="41"/>
      <c r="C325" s="389"/>
      <c r="D325" s="390"/>
      <c r="E325" s="390"/>
      <c r="F325" s="391"/>
      <c r="G325" s="391"/>
      <c r="H325" s="405"/>
      <c r="I325" s="231"/>
      <c r="J325" s="232"/>
      <c r="K325" s="408"/>
      <c r="L325" s="395"/>
      <c r="M325" s="446"/>
      <c r="N325" s="214"/>
      <c r="O325" s="207"/>
    </row>
    <row r="326" spans="2:15" s="204" customFormat="1" ht="68.25" customHeight="1" x14ac:dyDescent="0.25">
      <c r="B326" s="41" t="s">
        <v>286</v>
      </c>
      <c r="C326" s="510"/>
      <c r="D326" s="511"/>
      <c r="E326" s="512"/>
      <c r="F326" s="116"/>
      <c r="G326" s="116"/>
      <c r="H326" s="231"/>
      <c r="I326" s="231"/>
      <c r="J326" s="232"/>
      <c r="K326" s="502"/>
      <c r="L326" s="503"/>
      <c r="M326" s="443"/>
      <c r="N326" s="214"/>
    </row>
    <row r="327" spans="2:15" s="204" customFormat="1" ht="13.2" outlineLevel="1" x14ac:dyDescent="0.25">
      <c r="B327" s="41"/>
      <c r="C327" s="384"/>
      <c r="D327" s="385"/>
      <c r="E327" s="385"/>
      <c r="F327" s="386"/>
      <c r="G327" s="386"/>
      <c r="H327" s="411" t="s">
        <v>744</v>
      </c>
      <c r="I327" s="231"/>
      <c r="J327" s="232"/>
      <c r="K327" s="394"/>
      <c r="L327" s="392"/>
      <c r="M327" s="444"/>
      <c r="N327" s="214"/>
      <c r="O327" s="207"/>
    </row>
    <row r="328" spans="2:15" s="204" customFormat="1" ht="13.2" outlineLevel="1" x14ac:dyDescent="0.25">
      <c r="B328" s="41"/>
      <c r="C328" s="387"/>
      <c r="D328" s="308"/>
      <c r="E328" s="308"/>
      <c r="F328" s="388"/>
      <c r="G328" s="388"/>
      <c r="H328" s="410"/>
      <c r="I328" s="231"/>
      <c r="J328" s="232"/>
      <c r="K328" s="409"/>
      <c r="L328" s="393"/>
      <c r="M328" s="445"/>
      <c r="N328" s="214"/>
      <c r="O328" s="207"/>
    </row>
    <row r="329" spans="2:15" s="204" customFormat="1" ht="13.2" outlineLevel="1" x14ac:dyDescent="0.25">
      <c r="B329" s="41"/>
      <c r="C329" s="387"/>
      <c r="D329" s="308"/>
      <c r="E329" s="308"/>
      <c r="F329" s="388"/>
      <c r="G329" s="388"/>
      <c r="H329" s="410"/>
      <c r="I329" s="231"/>
      <c r="J329" s="232"/>
      <c r="K329" s="409"/>
      <c r="L329" s="393"/>
      <c r="M329" s="445"/>
      <c r="N329" s="214"/>
      <c r="O329" s="207"/>
    </row>
    <row r="330" spans="2:15" s="204" customFormat="1" ht="13.2" outlineLevel="1" x14ac:dyDescent="0.25">
      <c r="B330" s="41"/>
      <c r="C330" s="387"/>
      <c r="D330" s="308"/>
      <c r="E330" s="308"/>
      <c r="F330" s="388"/>
      <c r="G330" s="388"/>
      <c r="H330" s="410"/>
      <c r="I330" s="231"/>
      <c r="J330" s="232"/>
      <c r="K330" s="409"/>
      <c r="L330" s="393"/>
      <c r="M330" s="445"/>
      <c r="N330" s="214"/>
      <c r="O330" s="207"/>
    </row>
    <row r="331" spans="2:15" s="204" customFormat="1" ht="13.2" outlineLevel="1" x14ac:dyDescent="0.25">
      <c r="B331" s="41"/>
      <c r="C331" s="387"/>
      <c r="D331" s="308"/>
      <c r="E331" s="308"/>
      <c r="F331" s="388"/>
      <c r="G331" s="388"/>
      <c r="H331" s="410"/>
      <c r="I331" s="231"/>
      <c r="J331" s="232"/>
      <c r="K331" s="409"/>
      <c r="L331" s="393"/>
      <c r="M331" s="445"/>
      <c r="N331" s="214"/>
      <c r="O331" s="207"/>
    </row>
    <row r="332" spans="2:15" s="204" customFormat="1" ht="13.2" outlineLevel="1" x14ac:dyDescent="0.25">
      <c r="B332" s="41"/>
      <c r="C332" s="387"/>
      <c r="D332" s="308"/>
      <c r="E332" s="308"/>
      <c r="F332" s="388"/>
      <c r="G332" s="388"/>
      <c r="H332" s="410"/>
      <c r="I332" s="231"/>
      <c r="J332" s="232"/>
      <c r="K332" s="409"/>
      <c r="L332" s="393"/>
      <c r="M332" s="445"/>
      <c r="N332" s="214"/>
      <c r="O332" s="207"/>
    </row>
    <row r="333" spans="2:15" s="204" customFormat="1" ht="13.2" outlineLevel="1" x14ac:dyDescent="0.25">
      <c r="B333" s="41"/>
      <c r="C333" s="387"/>
      <c r="D333" s="308"/>
      <c r="E333" s="308"/>
      <c r="F333" s="388"/>
      <c r="G333" s="388"/>
      <c r="H333" s="410"/>
      <c r="I333" s="231"/>
      <c r="J333" s="232"/>
      <c r="K333" s="409"/>
      <c r="L333" s="393"/>
      <c r="M333" s="445"/>
      <c r="N333" s="214"/>
      <c r="O333" s="207"/>
    </row>
    <row r="334" spans="2:15" s="204" customFormat="1" ht="13.2" outlineLevel="1" x14ac:dyDescent="0.25">
      <c r="B334" s="41"/>
      <c r="C334" s="387"/>
      <c r="D334" s="308"/>
      <c r="E334" s="308"/>
      <c r="F334" s="388"/>
      <c r="G334" s="388"/>
      <c r="H334" s="410"/>
      <c r="I334" s="231"/>
      <c r="J334" s="232"/>
      <c r="K334" s="409"/>
      <c r="L334" s="393"/>
      <c r="M334" s="445"/>
      <c r="N334" s="214"/>
      <c r="O334" s="207"/>
    </row>
    <row r="335" spans="2:15" s="204" customFormat="1" ht="13.2" outlineLevel="1" x14ac:dyDescent="0.25">
      <c r="B335" s="41"/>
      <c r="C335" s="387"/>
      <c r="D335" s="308"/>
      <c r="E335" s="308"/>
      <c r="F335" s="388"/>
      <c r="G335" s="388"/>
      <c r="H335" s="410"/>
      <c r="I335" s="231"/>
      <c r="J335" s="232"/>
      <c r="K335" s="409"/>
      <c r="L335" s="393"/>
      <c r="M335" s="445"/>
      <c r="N335" s="214"/>
      <c r="O335" s="207"/>
    </row>
    <row r="336" spans="2:15" s="204" customFormat="1" ht="13.2" outlineLevel="1" x14ac:dyDescent="0.25">
      <c r="B336" s="41"/>
      <c r="C336" s="387"/>
      <c r="D336" s="308"/>
      <c r="E336" s="308"/>
      <c r="F336" s="388"/>
      <c r="G336" s="388"/>
      <c r="H336" s="410"/>
      <c r="I336" s="231"/>
      <c r="J336" s="232"/>
      <c r="K336" s="409"/>
      <c r="L336" s="393"/>
      <c r="M336" s="445"/>
      <c r="N336" s="214"/>
      <c r="O336" s="207"/>
    </row>
    <row r="337" spans="2:15" s="204" customFormat="1" ht="13.2" outlineLevel="1" x14ac:dyDescent="0.25">
      <c r="B337" s="41"/>
      <c r="C337" s="387"/>
      <c r="D337" s="308"/>
      <c r="E337" s="308"/>
      <c r="F337" s="388"/>
      <c r="G337" s="388"/>
      <c r="H337" s="410"/>
      <c r="I337" s="231"/>
      <c r="J337" s="232"/>
      <c r="K337" s="409"/>
      <c r="L337" s="393"/>
      <c r="M337" s="445"/>
      <c r="N337" s="214"/>
      <c r="O337" s="207"/>
    </row>
    <row r="338" spans="2:15" s="204" customFormat="1" ht="13.2" outlineLevel="1" x14ac:dyDescent="0.25">
      <c r="B338" s="41"/>
      <c r="C338" s="389"/>
      <c r="D338" s="390"/>
      <c r="E338" s="390"/>
      <c r="F338" s="391"/>
      <c r="G338" s="391"/>
      <c r="H338" s="405"/>
      <c r="I338" s="231"/>
      <c r="J338" s="232"/>
      <c r="K338" s="408"/>
      <c r="L338" s="395"/>
      <c r="M338" s="446"/>
      <c r="N338" s="214"/>
      <c r="O338" s="207"/>
    </row>
    <row r="339" spans="2:15" s="204" customFormat="1" ht="68.25" customHeight="1" x14ac:dyDescent="0.25">
      <c r="B339" s="41" t="s">
        <v>287</v>
      </c>
      <c r="C339" s="510"/>
      <c r="D339" s="511"/>
      <c r="E339" s="512"/>
      <c r="F339" s="116"/>
      <c r="G339" s="116"/>
      <c r="H339" s="231"/>
      <c r="I339" s="231"/>
      <c r="J339" s="232"/>
      <c r="K339" s="502"/>
      <c r="L339" s="503"/>
      <c r="M339" s="443"/>
      <c r="N339" s="214"/>
    </row>
    <row r="340" spans="2:15" s="204" customFormat="1" ht="13.2" outlineLevel="1" x14ac:dyDescent="0.25">
      <c r="B340" s="41"/>
      <c r="C340" s="384"/>
      <c r="D340" s="385"/>
      <c r="E340" s="385"/>
      <c r="F340" s="386"/>
      <c r="G340" s="386"/>
      <c r="H340" s="411" t="s">
        <v>744</v>
      </c>
      <c r="I340" s="231"/>
      <c r="J340" s="232"/>
      <c r="K340" s="394"/>
      <c r="L340" s="392"/>
      <c r="M340" s="444"/>
      <c r="N340" s="214"/>
      <c r="O340" s="207"/>
    </row>
    <row r="341" spans="2:15" s="204" customFormat="1" ht="13.2" outlineLevel="1" x14ac:dyDescent="0.25">
      <c r="B341" s="41"/>
      <c r="C341" s="387"/>
      <c r="D341" s="308"/>
      <c r="E341" s="308"/>
      <c r="F341" s="388"/>
      <c r="G341" s="388"/>
      <c r="H341" s="410"/>
      <c r="I341" s="231"/>
      <c r="J341" s="232"/>
      <c r="K341" s="409"/>
      <c r="L341" s="393"/>
      <c r="M341" s="445"/>
      <c r="N341" s="214"/>
      <c r="O341" s="207"/>
    </row>
    <row r="342" spans="2:15" s="204" customFormat="1" ht="13.2" outlineLevel="1" x14ac:dyDescent="0.25">
      <c r="B342" s="41"/>
      <c r="C342" s="387"/>
      <c r="D342" s="308"/>
      <c r="E342" s="308"/>
      <c r="F342" s="388"/>
      <c r="G342" s="388"/>
      <c r="H342" s="410"/>
      <c r="I342" s="231"/>
      <c r="J342" s="232"/>
      <c r="K342" s="409"/>
      <c r="L342" s="393"/>
      <c r="M342" s="445"/>
      <c r="N342" s="214"/>
      <c r="O342" s="207"/>
    </row>
    <row r="343" spans="2:15" s="204" customFormat="1" ht="13.2" outlineLevel="1" x14ac:dyDescent="0.25">
      <c r="B343" s="41"/>
      <c r="C343" s="387"/>
      <c r="D343" s="308"/>
      <c r="E343" s="308"/>
      <c r="F343" s="388"/>
      <c r="G343" s="388"/>
      <c r="H343" s="410"/>
      <c r="I343" s="231"/>
      <c r="J343" s="232"/>
      <c r="K343" s="409"/>
      <c r="L343" s="393"/>
      <c r="M343" s="445"/>
      <c r="N343" s="214"/>
      <c r="O343" s="207"/>
    </row>
    <row r="344" spans="2:15" s="204" customFormat="1" ht="13.2" outlineLevel="1" x14ac:dyDescent="0.25">
      <c r="B344" s="41"/>
      <c r="C344" s="387"/>
      <c r="D344" s="308"/>
      <c r="E344" s="308"/>
      <c r="F344" s="388"/>
      <c r="G344" s="388"/>
      <c r="H344" s="410"/>
      <c r="I344" s="231"/>
      <c r="J344" s="232"/>
      <c r="K344" s="409"/>
      <c r="L344" s="393"/>
      <c r="M344" s="445"/>
      <c r="N344" s="214"/>
      <c r="O344" s="207"/>
    </row>
    <row r="345" spans="2:15" s="204" customFormat="1" ht="13.2" outlineLevel="1" x14ac:dyDescent="0.25">
      <c r="B345" s="41"/>
      <c r="C345" s="387"/>
      <c r="D345" s="308"/>
      <c r="E345" s="308"/>
      <c r="F345" s="388"/>
      <c r="G345" s="388"/>
      <c r="H345" s="410"/>
      <c r="I345" s="231"/>
      <c r="J345" s="232"/>
      <c r="K345" s="409"/>
      <c r="L345" s="393"/>
      <c r="M345" s="445"/>
      <c r="N345" s="214"/>
      <c r="O345" s="207"/>
    </row>
    <row r="346" spans="2:15" s="204" customFormat="1" ht="13.2" outlineLevel="1" x14ac:dyDescent="0.25">
      <c r="B346" s="41"/>
      <c r="C346" s="387"/>
      <c r="D346" s="308"/>
      <c r="E346" s="308"/>
      <c r="F346" s="388"/>
      <c r="G346" s="388"/>
      <c r="H346" s="410"/>
      <c r="I346" s="231"/>
      <c r="J346" s="232"/>
      <c r="K346" s="409"/>
      <c r="L346" s="393"/>
      <c r="M346" s="445"/>
      <c r="N346" s="214"/>
      <c r="O346" s="207"/>
    </row>
    <row r="347" spans="2:15" s="204" customFormat="1" ht="13.2" outlineLevel="1" x14ac:dyDescent="0.25">
      <c r="B347" s="41"/>
      <c r="C347" s="387"/>
      <c r="D347" s="308"/>
      <c r="E347" s="308"/>
      <c r="F347" s="388"/>
      <c r="G347" s="388"/>
      <c r="H347" s="410"/>
      <c r="I347" s="231"/>
      <c r="J347" s="232"/>
      <c r="K347" s="409"/>
      <c r="L347" s="393"/>
      <c r="M347" s="445"/>
      <c r="N347" s="214"/>
      <c r="O347" s="207"/>
    </row>
    <row r="348" spans="2:15" s="204" customFormat="1" ht="13.2" outlineLevel="1" x14ac:dyDescent="0.25">
      <c r="B348" s="41"/>
      <c r="C348" s="387"/>
      <c r="D348" s="308"/>
      <c r="E348" s="308"/>
      <c r="F348" s="388"/>
      <c r="G348" s="388"/>
      <c r="H348" s="410"/>
      <c r="I348" s="231"/>
      <c r="J348" s="232"/>
      <c r="K348" s="409"/>
      <c r="L348" s="393"/>
      <c r="M348" s="445"/>
      <c r="N348" s="214"/>
      <c r="O348" s="207"/>
    </row>
    <row r="349" spans="2:15" s="204" customFormat="1" ht="13.2" outlineLevel="1" x14ac:dyDescent="0.25">
      <c r="B349" s="41"/>
      <c r="C349" s="387"/>
      <c r="D349" s="308"/>
      <c r="E349" s="308"/>
      <c r="F349" s="388"/>
      <c r="G349" s="388"/>
      <c r="H349" s="410"/>
      <c r="I349" s="231"/>
      <c r="J349" s="232"/>
      <c r="K349" s="409"/>
      <c r="L349" s="393"/>
      <c r="M349" s="445"/>
      <c r="N349" s="214"/>
      <c r="O349" s="207"/>
    </row>
    <row r="350" spans="2:15" s="204" customFormat="1" ht="13.2" outlineLevel="1" x14ac:dyDescent="0.25">
      <c r="B350" s="41"/>
      <c r="C350" s="387"/>
      <c r="D350" s="308"/>
      <c r="E350" s="308"/>
      <c r="F350" s="388"/>
      <c r="G350" s="388"/>
      <c r="H350" s="410"/>
      <c r="I350" s="231"/>
      <c r="J350" s="232"/>
      <c r="K350" s="409"/>
      <c r="L350" s="393"/>
      <c r="M350" s="445"/>
      <c r="N350" s="214"/>
      <c r="O350" s="207"/>
    </row>
    <row r="351" spans="2:15" s="204" customFormat="1" ht="13.2" outlineLevel="1" x14ac:dyDescent="0.25">
      <c r="B351" s="41"/>
      <c r="C351" s="389"/>
      <c r="D351" s="390"/>
      <c r="E351" s="390"/>
      <c r="F351" s="391"/>
      <c r="G351" s="391"/>
      <c r="H351" s="405"/>
      <c r="I351" s="231"/>
      <c r="J351" s="232"/>
      <c r="K351" s="408"/>
      <c r="L351" s="395"/>
      <c r="M351" s="446"/>
      <c r="N351" s="214"/>
      <c r="O351" s="207"/>
    </row>
    <row r="352" spans="2:15" s="204" customFormat="1" ht="68.25" customHeight="1" x14ac:dyDescent="0.25">
      <c r="B352" s="41" t="s">
        <v>288</v>
      </c>
      <c r="C352" s="510"/>
      <c r="D352" s="511"/>
      <c r="E352" s="512"/>
      <c r="F352" s="116"/>
      <c r="G352" s="116"/>
      <c r="H352" s="231"/>
      <c r="I352" s="231"/>
      <c r="J352" s="232"/>
      <c r="K352" s="502"/>
      <c r="L352" s="503"/>
      <c r="M352" s="443"/>
      <c r="N352" s="214"/>
    </row>
    <row r="353" spans="2:15" s="204" customFormat="1" ht="13.2" outlineLevel="1" x14ac:dyDescent="0.25">
      <c r="B353" s="41"/>
      <c r="C353" s="384"/>
      <c r="D353" s="385"/>
      <c r="E353" s="385"/>
      <c r="F353" s="386"/>
      <c r="G353" s="386"/>
      <c r="H353" s="411" t="s">
        <v>744</v>
      </c>
      <c r="I353" s="231"/>
      <c r="J353" s="232"/>
      <c r="K353" s="394"/>
      <c r="L353" s="392"/>
      <c r="M353" s="444"/>
      <c r="N353" s="214"/>
      <c r="O353" s="207"/>
    </row>
    <row r="354" spans="2:15" s="204" customFormat="1" ht="13.2" outlineLevel="1" x14ac:dyDescent="0.25">
      <c r="B354" s="41"/>
      <c r="C354" s="387"/>
      <c r="D354" s="308"/>
      <c r="E354" s="308"/>
      <c r="F354" s="388"/>
      <c r="G354" s="388"/>
      <c r="H354" s="410"/>
      <c r="I354" s="231"/>
      <c r="J354" s="232"/>
      <c r="K354" s="409"/>
      <c r="L354" s="393"/>
      <c r="M354" s="445"/>
      <c r="N354" s="214"/>
      <c r="O354" s="207"/>
    </row>
    <row r="355" spans="2:15" s="204" customFormat="1" ht="13.2" outlineLevel="1" x14ac:dyDescent="0.25">
      <c r="B355" s="41"/>
      <c r="C355" s="387"/>
      <c r="D355" s="308"/>
      <c r="E355" s="308"/>
      <c r="F355" s="388"/>
      <c r="G355" s="388"/>
      <c r="H355" s="410"/>
      <c r="I355" s="231"/>
      <c r="J355" s="232"/>
      <c r="K355" s="409"/>
      <c r="L355" s="393"/>
      <c r="M355" s="445"/>
      <c r="N355" s="214"/>
      <c r="O355" s="207"/>
    </row>
    <row r="356" spans="2:15" s="204" customFormat="1" ht="13.2" outlineLevel="1" x14ac:dyDescent="0.25">
      <c r="B356" s="41"/>
      <c r="C356" s="387"/>
      <c r="D356" s="308"/>
      <c r="E356" s="308"/>
      <c r="F356" s="388"/>
      <c r="G356" s="388"/>
      <c r="H356" s="410"/>
      <c r="I356" s="231"/>
      <c r="J356" s="232"/>
      <c r="K356" s="409"/>
      <c r="L356" s="393"/>
      <c r="M356" s="445"/>
      <c r="N356" s="214"/>
      <c r="O356" s="207"/>
    </row>
    <row r="357" spans="2:15" s="204" customFormat="1" ht="13.2" outlineLevel="1" x14ac:dyDescent="0.25">
      <c r="B357" s="41"/>
      <c r="C357" s="387"/>
      <c r="D357" s="308"/>
      <c r="E357" s="308"/>
      <c r="F357" s="388"/>
      <c r="G357" s="388"/>
      <c r="H357" s="410"/>
      <c r="I357" s="231"/>
      <c r="J357" s="232"/>
      <c r="K357" s="409"/>
      <c r="L357" s="393"/>
      <c r="M357" s="445"/>
      <c r="N357" s="214"/>
      <c r="O357" s="207"/>
    </row>
    <row r="358" spans="2:15" s="204" customFormat="1" ht="13.2" outlineLevel="1" x14ac:dyDescent="0.25">
      <c r="B358" s="41"/>
      <c r="C358" s="387"/>
      <c r="D358" s="308"/>
      <c r="E358" s="308"/>
      <c r="F358" s="388"/>
      <c r="G358" s="388"/>
      <c r="H358" s="410"/>
      <c r="I358" s="231"/>
      <c r="J358" s="232"/>
      <c r="K358" s="409"/>
      <c r="L358" s="393"/>
      <c r="M358" s="445"/>
      <c r="N358" s="214"/>
      <c r="O358" s="207"/>
    </row>
    <row r="359" spans="2:15" s="204" customFormat="1" ht="13.2" outlineLevel="1" x14ac:dyDescent="0.25">
      <c r="B359" s="41"/>
      <c r="C359" s="387"/>
      <c r="D359" s="308"/>
      <c r="E359" s="308"/>
      <c r="F359" s="388"/>
      <c r="G359" s="388"/>
      <c r="H359" s="410"/>
      <c r="I359" s="231"/>
      <c r="J359" s="232"/>
      <c r="K359" s="409"/>
      <c r="L359" s="393"/>
      <c r="M359" s="445"/>
      <c r="N359" s="214"/>
      <c r="O359" s="207"/>
    </row>
    <row r="360" spans="2:15" s="204" customFormat="1" ht="13.2" outlineLevel="1" x14ac:dyDescent="0.25">
      <c r="B360" s="41"/>
      <c r="C360" s="387"/>
      <c r="D360" s="308"/>
      <c r="E360" s="308"/>
      <c r="F360" s="388"/>
      <c r="G360" s="388"/>
      <c r="H360" s="410"/>
      <c r="I360" s="231"/>
      <c r="J360" s="232"/>
      <c r="K360" s="409"/>
      <c r="L360" s="393"/>
      <c r="M360" s="445"/>
      <c r="N360" s="214"/>
      <c r="O360" s="207"/>
    </row>
    <row r="361" spans="2:15" s="204" customFormat="1" ht="13.2" outlineLevel="1" x14ac:dyDescent="0.25">
      <c r="B361" s="41"/>
      <c r="C361" s="387"/>
      <c r="D361" s="308"/>
      <c r="E361" s="308"/>
      <c r="F361" s="388"/>
      <c r="G361" s="388"/>
      <c r="H361" s="410"/>
      <c r="I361" s="231"/>
      <c r="J361" s="232"/>
      <c r="K361" s="409"/>
      <c r="L361" s="393"/>
      <c r="M361" s="445"/>
      <c r="N361" s="214"/>
      <c r="O361" s="207"/>
    </row>
    <row r="362" spans="2:15" s="204" customFormat="1" ht="13.2" outlineLevel="1" x14ac:dyDescent="0.25">
      <c r="B362" s="41"/>
      <c r="C362" s="387"/>
      <c r="D362" s="308"/>
      <c r="E362" s="308"/>
      <c r="F362" s="388"/>
      <c r="G362" s="388"/>
      <c r="H362" s="410"/>
      <c r="I362" s="231"/>
      <c r="J362" s="232"/>
      <c r="K362" s="409"/>
      <c r="L362" s="393"/>
      <c r="M362" s="445"/>
      <c r="N362" s="214"/>
      <c r="O362" s="207"/>
    </row>
    <row r="363" spans="2:15" s="204" customFormat="1" ht="13.2" outlineLevel="1" x14ac:dyDescent="0.25">
      <c r="B363" s="41"/>
      <c r="C363" s="387"/>
      <c r="D363" s="308"/>
      <c r="E363" s="308"/>
      <c r="F363" s="388"/>
      <c r="G363" s="388"/>
      <c r="H363" s="410"/>
      <c r="I363" s="231"/>
      <c r="J363" s="232"/>
      <c r="K363" s="409"/>
      <c r="L363" s="393"/>
      <c r="M363" s="445"/>
      <c r="N363" s="214"/>
      <c r="O363" s="207"/>
    </row>
    <row r="364" spans="2:15" s="204" customFormat="1" ht="13.2" outlineLevel="1" x14ac:dyDescent="0.25">
      <c r="B364" s="41"/>
      <c r="C364" s="389"/>
      <c r="D364" s="390"/>
      <c r="E364" s="390"/>
      <c r="F364" s="391"/>
      <c r="G364" s="391"/>
      <c r="H364" s="405"/>
      <c r="I364" s="231"/>
      <c r="J364" s="232"/>
      <c r="K364" s="408"/>
      <c r="L364" s="395"/>
      <c r="M364" s="446"/>
      <c r="N364" s="214"/>
      <c r="O364" s="207"/>
    </row>
    <row r="365" spans="2:15" s="204" customFormat="1" ht="68.25" customHeight="1" x14ac:dyDescent="0.25">
      <c r="B365" s="41" t="s">
        <v>3</v>
      </c>
      <c r="C365" s="510"/>
      <c r="D365" s="511"/>
      <c r="E365" s="512"/>
      <c r="F365" s="116"/>
      <c r="G365" s="116"/>
      <c r="H365" s="231"/>
      <c r="I365" s="231"/>
      <c r="J365" s="232"/>
      <c r="K365" s="502"/>
      <c r="L365" s="503"/>
      <c r="M365" s="443"/>
      <c r="N365" s="214"/>
    </row>
    <row r="366" spans="2:15" s="204" customFormat="1" ht="13.2" outlineLevel="1" x14ac:dyDescent="0.25">
      <c r="B366" s="41"/>
      <c r="C366" s="384"/>
      <c r="D366" s="385"/>
      <c r="E366" s="385"/>
      <c r="F366" s="386"/>
      <c r="G366" s="386"/>
      <c r="H366" s="411" t="s">
        <v>744</v>
      </c>
      <c r="I366" s="231"/>
      <c r="J366" s="232"/>
      <c r="K366" s="394"/>
      <c r="L366" s="392"/>
      <c r="M366" s="444"/>
      <c r="N366" s="214"/>
      <c r="O366" s="207"/>
    </row>
    <row r="367" spans="2:15" s="204" customFormat="1" ht="13.2" outlineLevel="1" x14ac:dyDescent="0.25">
      <c r="B367" s="41"/>
      <c r="C367" s="387"/>
      <c r="D367" s="308"/>
      <c r="E367" s="308"/>
      <c r="F367" s="388"/>
      <c r="G367" s="388"/>
      <c r="H367" s="410"/>
      <c r="I367" s="231"/>
      <c r="J367" s="232"/>
      <c r="K367" s="409"/>
      <c r="L367" s="393"/>
      <c r="M367" s="445"/>
      <c r="N367" s="214"/>
      <c r="O367" s="207"/>
    </row>
    <row r="368" spans="2:15" s="204" customFormat="1" ht="13.2" outlineLevel="1" x14ac:dyDescent="0.25">
      <c r="B368" s="41"/>
      <c r="C368" s="387"/>
      <c r="D368" s="308"/>
      <c r="E368" s="308"/>
      <c r="F368" s="388"/>
      <c r="G368" s="388"/>
      <c r="H368" s="410"/>
      <c r="I368" s="231"/>
      <c r="J368" s="232"/>
      <c r="K368" s="409"/>
      <c r="L368" s="393"/>
      <c r="M368" s="445"/>
      <c r="N368" s="214"/>
      <c r="O368" s="207"/>
    </row>
    <row r="369" spans="2:15" s="204" customFormat="1" ht="13.2" outlineLevel="1" x14ac:dyDescent="0.25">
      <c r="B369" s="41"/>
      <c r="C369" s="387"/>
      <c r="D369" s="308"/>
      <c r="E369" s="308"/>
      <c r="F369" s="388"/>
      <c r="G369" s="388"/>
      <c r="H369" s="410"/>
      <c r="I369" s="231"/>
      <c r="J369" s="232"/>
      <c r="K369" s="409"/>
      <c r="L369" s="393"/>
      <c r="M369" s="445"/>
      <c r="N369" s="214"/>
      <c r="O369" s="207"/>
    </row>
    <row r="370" spans="2:15" s="204" customFormat="1" ht="13.2" outlineLevel="1" x14ac:dyDescent="0.25">
      <c r="B370" s="41"/>
      <c r="C370" s="387"/>
      <c r="D370" s="308"/>
      <c r="E370" s="308"/>
      <c r="F370" s="388"/>
      <c r="G370" s="388"/>
      <c r="H370" s="410"/>
      <c r="I370" s="231"/>
      <c r="J370" s="232"/>
      <c r="K370" s="409"/>
      <c r="L370" s="393"/>
      <c r="M370" s="445"/>
      <c r="N370" s="214"/>
      <c r="O370" s="207"/>
    </row>
    <row r="371" spans="2:15" s="204" customFormat="1" ht="13.2" outlineLevel="1" x14ac:dyDescent="0.25">
      <c r="B371" s="41"/>
      <c r="C371" s="387"/>
      <c r="D371" s="308"/>
      <c r="E371" s="308"/>
      <c r="F371" s="388"/>
      <c r="G371" s="388"/>
      <c r="H371" s="410"/>
      <c r="I371" s="231"/>
      <c r="J371" s="232"/>
      <c r="K371" s="409"/>
      <c r="L371" s="393"/>
      <c r="M371" s="445"/>
      <c r="N371" s="214"/>
      <c r="O371" s="207"/>
    </row>
    <row r="372" spans="2:15" s="204" customFormat="1" ht="13.2" outlineLevel="1" x14ac:dyDescent="0.25">
      <c r="B372" s="41"/>
      <c r="C372" s="387"/>
      <c r="D372" s="308"/>
      <c r="E372" s="308"/>
      <c r="F372" s="388"/>
      <c r="G372" s="388"/>
      <c r="H372" s="410"/>
      <c r="I372" s="231"/>
      <c r="J372" s="232"/>
      <c r="K372" s="409"/>
      <c r="L372" s="393"/>
      <c r="M372" s="445"/>
      <c r="N372" s="214"/>
      <c r="O372" s="207"/>
    </row>
    <row r="373" spans="2:15" s="204" customFormat="1" ht="13.2" outlineLevel="1" x14ac:dyDescent="0.25">
      <c r="B373" s="41"/>
      <c r="C373" s="387"/>
      <c r="D373" s="308"/>
      <c r="E373" s="308"/>
      <c r="F373" s="388"/>
      <c r="G373" s="388"/>
      <c r="H373" s="410"/>
      <c r="I373" s="231"/>
      <c r="J373" s="232"/>
      <c r="K373" s="409"/>
      <c r="L373" s="393"/>
      <c r="M373" s="445"/>
      <c r="N373" s="214"/>
      <c r="O373" s="207"/>
    </row>
    <row r="374" spans="2:15" s="204" customFormat="1" ht="13.2" outlineLevel="1" x14ac:dyDescent="0.25">
      <c r="B374" s="41"/>
      <c r="C374" s="387"/>
      <c r="D374" s="308"/>
      <c r="E374" s="308"/>
      <c r="F374" s="388"/>
      <c r="G374" s="388"/>
      <c r="H374" s="410"/>
      <c r="I374" s="231"/>
      <c r="J374" s="232"/>
      <c r="K374" s="409"/>
      <c r="L374" s="393"/>
      <c r="M374" s="445"/>
      <c r="N374" s="214"/>
      <c r="O374" s="207"/>
    </row>
    <row r="375" spans="2:15" s="204" customFormat="1" ht="13.2" outlineLevel="1" x14ac:dyDescent="0.25">
      <c r="B375" s="41"/>
      <c r="C375" s="387"/>
      <c r="D375" s="308"/>
      <c r="E375" s="308"/>
      <c r="F375" s="388"/>
      <c r="G375" s="388"/>
      <c r="H375" s="410"/>
      <c r="I375" s="231"/>
      <c r="J375" s="232"/>
      <c r="K375" s="409"/>
      <c r="L375" s="393"/>
      <c r="M375" s="445"/>
      <c r="N375" s="214"/>
      <c r="O375" s="207"/>
    </row>
    <row r="376" spans="2:15" s="204" customFormat="1" ht="13.2" outlineLevel="1" x14ac:dyDescent="0.25">
      <c r="B376" s="41"/>
      <c r="C376" s="387"/>
      <c r="D376" s="308"/>
      <c r="E376" s="308"/>
      <c r="F376" s="388"/>
      <c r="G376" s="388"/>
      <c r="H376" s="410"/>
      <c r="I376" s="231"/>
      <c r="J376" s="232"/>
      <c r="K376" s="409"/>
      <c r="L376" s="393"/>
      <c r="M376" s="445"/>
      <c r="N376" s="214"/>
      <c r="O376" s="207"/>
    </row>
    <row r="377" spans="2:15" s="204" customFormat="1" ht="13.2" outlineLevel="1" x14ac:dyDescent="0.25">
      <c r="B377" s="41"/>
      <c r="C377" s="389"/>
      <c r="D377" s="390"/>
      <c r="E377" s="390"/>
      <c r="F377" s="391"/>
      <c r="G377" s="391"/>
      <c r="H377" s="405"/>
      <c r="I377" s="231"/>
      <c r="J377" s="232"/>
      <c r="K377" s="408"/>
      <c r="L377" s="395"/>
      <c r="M377" s="446"/>
      <c r="N377" s="214"/>
      <c r="O377" s="207"/>
    </row>
    <row r="378" spans="2:15" s="204" customFormat="1" ht="68.25" customHeight="1" x14ac:dyDescent="0.25">
      <c r="B378" s="41" t="s">
        <v>4</v>
      </c>
      <c r="C378" s="510"/>
      <c r="D378" s="511"/>
      <c r="E378" s="512"/>
      <c r="F378" s="116"/>
      <c r="G378" s="116"/>
      <c r="H378" s="231"/>
      <c r="I378" s="231"/>
      <c r="J378" s="232"/>
      <c r="K378" s="502"/>
      <c r="L378" s="503"/>
      <c r="M378" s="443"/>
      <c r="N378" s="214"/>
    </row>
    <row r="379" spans="2:15" s="204" customFormat="1" ht="13.2" outlineLevel="1" x14ac:dyDescent="0.25">
      <c r="B379" s="41"/>
      <c r="C379" s="384"/>
      <c r="D379" s="385"/>
      <c r="E379" s="385"/>
      <c r="F379" s="386"/>
      <c r="G379" s="386"/>
      <c r="H379" s="411" t="s">
        <v>744</v>
      </c>
      <c r="I379" s="231"/>
      <c r="J379" s="232"/>
      <c r="K379" s="394"/>
      <c r="L379" s="392"/>
      <c r="M379" s="444"/>
      <c r="N379" s="214"/>
      <c r="O379" s="207"/>
    </row>
    <row r="380" spans="2:15" s="204" customFormat="1" ht="13.2" outlineLevel="1" x14ac:dyDescent="0.25">
      <c r="B380" s="41"/>
      <c r="C380" s="387"/>
      <c r="D380" s="308"/>
      <c r="E380" s="308"/>
      <c r="F380" s="388"/>
      <c r="G380" s="388"/>
      <c r="H380" s="410"/>
      <c r="I380" s="231"/>
      <c r="J380" s="232"/>
      <c r="K380" s="409"/>
      <c r="L380" s="393"/>
      <c r="M380" s="445"/>
      <c r="N380" s="214"/>
      <c r="O380" s="207"/>
    </row>
    <row r="381" spans="2:15" s="204" customFormat="1" ht="13.2" outlineLevel="1" x14ac:dyDescent="0.25">
      <c r="B381" s="41"/>
      <c r="C381" s="387"/>
      <c r="D381" s="308"/>
      <c r="E381" s="308"/>
      <c r="F381" s="388"/>
      <c r="G381" s="388"/>
      <c r="H381" s="410"/>
      <c r="I381" s="231"/>
      <c r="J381" s="232"/>
      <c r="K381" s="409"/>
      <c r="L381" s="393"/>
      <c r="M381" s="445"/>
      <c r="N381" s="214"/>
      <c r="O381" s="207"/>
    </row>
    <row r="382" spans="2:15" s="204" customFormat="1" ht="13.2" outlineLevel="1" x14ac:dyDescent="0.25">
      <c r="B382" s="41"/>
      <c r="C382" s="387"/>
      <c r="D382" s="308"/>
      <c r="E382" s="308"/>
      <c r="F382" s="388"/>
      <c r="G382" s="388"/>
      <c r="H382" s="410"/>
      <c r="I382" s="231"/>
      <c r="J382" s="232"/>
      <c r="K382" s="409"/>
      <c r="L382" s="393"/>
      <c r="M382" s="445"/>
      <c r="N382" s="214"/>
      <c r="O382" s="207"/>
    </row>
    <row r="383" spans="2:15" s="204" customFormat="1" ht="13.2" outlineLevel="1" x14ac:dyDescent="0.25">
      <c r="B383" s="41"/>
      <c r="C383" s="387"/>
      <c r="D383" s="308"/>
      <c r="E383" s="308"/>
      <c r="F383" s="388"/>
      <c r="G383" s="388"/>
      <c r="H383" s="410"/>
      <c r="I383" s="231"/>
      <c r="J383" s="232"/>
      <c r="K383" s="409"/>
      <c r="L383" s="393"/>
      <c r="M383" s="445"/>
      <c r="N383" s="214"/>
      <c r="O383" s="207"/>
    </row>
    <row r="384" spans="2:15" s="204" customFormat="1" ht="13.2" outlineLevel="1" x14ac:dyDescent="0.25">
      <c r="B384" s="41"/>
      <c r="C384" s="387"/>
      <c r="D384" s="308"/>
      <c r="E384" s="308"/>
      <c r="F384" s="388"/>
      <c r="G384" s="388"/>
      <c r="H384" s="410"/>
      <c r="I384" s="231"/>
      <c r="J384" s="232"/>
      <c r="K384" s="409"/>
      <c r="L384" s="393"/>
      <c r="M384" s="445"/>
      <c r="N384" s="214"/>
      <c r="O384" s="207"/>
    </row>
    <row r="385" spans="2:15" s="204" customFormat="1" ht="13.2" outlineLevel="1" x14ac:dyDescent="0.25">
      <c r="B385" s="41"/>
      <c r="C385" s="387"/>
      <c r="D385" s="308"/>
      <c r="E385" s="308"/>
      <c r="F385" s="388"/>
      <c r="G385" s="388"/>
      <c r="H385" s="410"/>
      <c r="I385" s="231"/>
      <c r="J385" s="232"/>
      <c r="K385" s="409"/>
      <c r="L385" s="393"/>
      <c r="M385" s="445"/>
      <c r="N385" s="214"/>
      <c r="O385" s="207"/>
    </row>
    <row r="386" spans="2:15" s="204" customFormat="1" ht="13.2" outlineLevel="1" x14ac:dyDescent="0.25">
      <c r="B386" s="41"/>
      <c r="C386" s="387"/>
      <c r="D386" s="308"/>
      <c r="E386" s="308"/>
      <c r="F386" s="388"/>
      <c r="G386" s="388"/>
      <c r="H386" s="410"/>
      <c r="I386" s="231"/>
      <c r="J386" s="232"/>
      <c r="K386" s="409"/>
      <c r="L386" s="393"/>
      <c r="M386" s="445"/>
      <c r="N386" s="214"/>
      <c r="O386" s="207"/>
    </row>
    <row r="387" spans="2:15" s="204" customFormat="1" ht="13.2" outlineLevel="1" x14ac:dyDescent="0.25">
      <c r="B387" s="41"/>
      <c r="C387" s="387"/>
      <c r="D387" s="308"/>
      <c r="E387" s="308"/>
      <c r="F387" s="388"/>
      <c r="G387" s="388"/>
      <c r="H387" s="410"/>
      <c r="I387" s="231"/>
      <c r="J387" s="232"/>
      <c r="K387" s="409"/>
      <c r="L387" s="393"/>
      <c r="M387" s="445"/>
      <c r="N387" s="214"/>
      <c r="O387" s="207"/>
    </row>
    <row r="388" spans="2:15" s="204" customFormat="1" ht="13.2" outlineLevel="1" x14ac:dyDescent="0.25">
      <c r="B388" s="41"/>
      <c r="C388" s="387"/>
      <c r="D388" s="308"/>
      <c r="E388" s="308"/>
      <c r="F388" s="388"/>
      <c r="G388" s="388"/>
      <c r="H388" s="410"/>
      <c r="I388" s="231"/>
      <c r="J388" s="232"/>
      <c r="K388" s="409"/>
      <c r="L388" s="393"/>
      <c r="M388" s="445"/>
      <c r="N388" s="214"/>
      <c r="O388" s="207"/>
    </row>
    <row r="389" spans="2:15" s="204" customFormat="1" ht="13.2" outlineLevel="1" x14ac:dyDescent="0.25">
      <c r="B389" s="41"/>
      <c r="C389" s="387"/>
      <c r="D389" s="308"/>
      <c r="E389" s="308"/>
      <c r="F389" s="388"/>
      <c r="G389" s="388"/>
      <c r="H389" s="410"/>
      <c r="I389" s="231"/>
      <c r="J389" s="232"/>
      <c r="K389" s="409"/>
      <c r="L389" s="393"/>
      <c r="M389" s="445"/>
      <c r="N389" s="214"/>
      <c r="O389" s="207"/>
    </row>
    <row r="390" spans="2:15" s="204" customFormat="1" ht="13.2" outlineLevel="1" x14ac:dyDescent="0.25">
      <c r="B390" s="41"/>
      <c r="C390" s="389"/>
      <c r="D390" s="390"/>
      <c r="E390" s="390"/>
      <c r="F390" s="391"/>
      <c r="G390" s="391"/>
      <c r="H390" s="405"/>
      <c r="I390" s="231"/>
      <c r="J390" s="232"/>
      <c r="K390" s="408"/>
      <c r="L390" s="395"/>
      <c r="M390" s="446"/>
      <c r="N390" s="214"/>
      <c r="O390" s="207"/>
    </row>
    <row r="391" spans="2:15" s="204" customFormat="1" ht="68.25" customHeight="1" x14ac:dyDescent="0.25">
      <c r="B391" s="41" t="s">
        <v>5</v>
      </c>
      <c r="C391" s="510"/>
      <c r="D391" s="511"/>
      <c r="E391" s="512"/>
      <c r="F391" s="116"/>
      <c r="G391" s="116"/>
      <c r="H391" s="231"/>
      <c r="I391" s="231"/>
      <c r="J391" s="232"/>
      <c r="K391" s="502"/>
      <c r="L391" s="503"/>
      <c r="M391" s="443"/>
      <c r="N391" s="214"/>
    </row>
    <row r="392" spans="2:15" s="204" customFormat="1" ht="13.2" outlineLevel="1" x14ac:dyDescent="0.25">
      <c r="B392" s="41"/>
      <c r="C392" s="384"/>
      <c r="D392" s="385"/>
      <c r="E392" s="385"/>
      <c r="F392" s="386"/>
      <c r="G392" s="386"/>
      <c r="H392" s="411" t="s">
        <v>744</v>
      </c>
      <c r="I392" s="231"/>
      <c r="J392" s="232"/>
      <c r="K392" s="394"/>
      <c r="L392" s="392"/>
      <c r="M392" s="444"/>
      <c r="N392" s="214"/>
      <c r="O392" s="207"/>
    </row>
    <row r="393" spans="2:15" s="204" customFormat="1" ht="13.2" outlineLevel="1" x14ac:dyDescent="0.25">
      <c r="B393" s="41"/>
      <c r="C393" s="387"/>
      <c r="D393" s="308"/>
      <c r="E393" s="308"/>
      <c r="F393" s="388"/>
      <c r="G393" s="388"/>
      <c r="H393" s="410"/>
      <c r="I393" s="231"/>
      <c r="J393" s="232"/>
      <c r="K393" s="409"/>
      <c r="L393" s="393"/>
      <c r="M393" s="445"/>
      <c r="N393" s="214"/>
      <c r="O393" s="207"/>
    </row>
    <row r="394" spans="2:15" s="204" customFormat="1" ht="13.2" outlineLevel="1" x14ac:dyDescent="0.25">
      <c r="B394" s="41"/>
      <c r="C394" s="387"/>
      <c r="D394" s="308"/>
      <c r="E394" s="308"/>
      <c r="F394" s="388"/>
      <c r="G394" s="388"/>
      <c r="H394" s="410"/>
      <c r="I394" s="231"/>
      <c r="J394" s="232"/>
      <c r="K394" s="409"/>
      <c r="L394" s="393"/>
      <c r="M394" s="445"/>
      <c r="N394" s="214"/>
      <c r="O394" s="207"/>
    </row>
    <row r="395" spans="2:15" s="204" customFormat="1" ht="13.2" outlineLevel="1" x14ac:dyDescent="0.25">
      <c r="B395" s="41"/>
      <c r="C395" s="387"/>
      <c r="D395" s="308"/>
      <c r="E395" s="308"/>
      <c r="F395" s="388"/>
      <c r="G395" s="388"/>
      <c r="H395" s="410"/>
      <c r="I395" s="231"/>
      <c r="J395" s="232"/>
      <c r="K395" s="409"/>
      <c r="L395" s="393"/>
      <c r="M395" s="445"/>
      <c r="N395" s="214"/>
      <c r="O395" s="207"/>
    </row>
    <row r="396" spans="2:15" s="204" customFormat="1" ht="13.2" outlineLevel="1" x14ac:dyDescent="0.25">
      <c r="B396" s="41"/>
      <c r="C396" s="387"/>
      <c r="D396" s="308"/>
      <c r="E396" s="308"/>
      <c r="F396" s="388"/>
      <c r="G396" s="388"/>
      <c r="H396" s="410"/>
      <c r="I396" s="231"/>
      <c r="J396" s="232"/>
      <c r="K396" s="409"/>
      <c r="L396" s="393"/>
      <c r="M396" s="445"/>
      <c r="N396" s="214"/>
      <c r="O396" s="207"/>
    </row>
    <row r="397" spans="2:15" s="204" customFormat="1" ht="13.2" outlineLevel="1" x14ac:dyDescent="0.25">
      <c r="B397" s="41"/>
      <c r="C397" s="387"/>
      <c r="D397" s="308"/>
      <c r="E397" s="308"/>
      <c r="F397" s="388"/>
      <c r="G397" s="388"/>
      <c r="H397" s="410"/>
      <c r="I397" s="231"/>
      <c r="J397" s="232"/>
      <c r="K397" s="409"/>
      <c r="L397" s="393"/>
      <c r="M397" s="445"/>
      <c r="N397" s="214"/>
      <c r="O397" s="207"/>
    </row>
    <row r="398" spans="2:15" s="204" customFormat="1" ht="13.2" outlineLevel="1" x14ac:dyDescent="0.25">
      <c r="B398" s="41"/>
      <c r="C398" s="387"/>
      <c r="D398" s="308"/>
      <c r="E398" s="308"/>
      <c r="F398" s="388"/>
      <c r="G398" s="388"/>
      <c r="H398" s="410"/>
      <c r="I398" s="231"/>
      <c r="J398" s="232"/>
      <c r="K398" s="409"/>
      <c r="L398" s="393"/>
      <c r="M398" s="445"/>
      <c r="N398" s="214"/>
      <c r="O398" s="207"/>
    </row>
    <row r="399" spans="2:15" s="204" customFormat="1" ht="13.2" outlineLevel="1" x14ac:dyDescent="0.25">
      <c r="B399" s="41"/>
      <c r="C399" s="387"/>
      <c r="D399" s="308"/>
      <c r="E399" s="308"/>
      <c r="F399" s="388"/>
      <c r="G399" s="388"/>
      <c r="H399" s="410"/>
      <c r="I399" s="231"/>
      <c r="J399" s="232"/>
      <c r="K399" s="409"/>
      <c r="L399" s="393"/>
      <c r="M399" s="445"/>
      <c r="N399" s="214"/>
      <c r="O399" s="207"/>
    </row>
    <row r="400" spans="2:15" s="204" customFormat="1" ht="13.2" outlineLevel="1" x14ac:dyDescent="0.25">
      <c r="B400" s="41"/>
      <c r="C400" s="387"/>
      <c r="D400" s="308"/>
      <c r="E400" s="308"/>
      <c r="F400" s="388"/>
      <c r="G400" s="388"/>
      <c r="H400" s="410"/>
      <c r="I400" s="231"/>
      <c r="J400" s="232"/>
      <c r="K400" s="409"/>
      <c r="L400" s="393"/>
      <c r="M400" s="445"/>
      <c r="N400" s="214"/>
      <c r="O400" s="207"/>
    </row>
    <row r="401" spans="2:15" s="204" customFormat="1" ht="13.2" outlineLevel="1" x14ac:dyDescent="0.25">
      <c r="B401" s="41"/>
      <c r="C401" s="387"/>
      <c r="D401" s="308"/>
      <c r="E401" s="308"/>
      <c r="F401" s="388"/>
      <c r="G401" s="388"/>
      <c r="H401" s="410"/>
      <c r="I401" s="231"/>
      <c r="J401" s="232"/>
      <c r="K401" s="409"/>
      <c r="L401" s="393"/>
      <c r="M401" s="445"/>
      <c r="N401" s="214"/>
      <c r="O401" s="207"/>
    </row>
    <row r="402" spans="2:15" s="204" customFormat="1" ht="13.2" outlineLevel="1" x14ac:dyDescent="0.25">
      <c r="B402" s="41"/>
      <c r="C402" s="387"/>
      <c r="D402" s="308"/>
      <c r="E402" s="308"/>
      <c r="F402" s="388"/>
      <c r="G402" s="388"/>
      <c r="H402" s="410"/>
      <c r="I402" s="231"/>
      <c r="J402" s="232"/>
      <c r="K402" s="409"/>
      <c r="L402" s="393"/>
      <c r="M402" s="445"/>
      <c r="N402" s="214"/>
      <c r="O402" s="207"/>
    </row>
    <row r="403" spans="2:15" s="204" customFormat="1" ht="13.2" outlineLevel="1" x14ac:dyDescent="0.25">
      <c r="B403" s="41"/>
      <c r="C403" s="389"/>
      <c r="D403" s="390"/>
      <c r="E403" s="390"/>
      <c r="F403" s="391"/>
      <c r="G403" s="391"/>
      <c r="H403" s="405"/>
      <c r="I403" s="231"/>
      <c r="J403" s="232"/>
      <c r="K403" s="408"/>
      <c r="L403" s="395"/>
      <c r="M403" s="446"/>
      <c r="N403" s="214"/>
      <c r="O403" s="207"/>
    </row>
    <row r="404" spans="2:15" s="204" customFormat="1" ht="68.25" customHeight="1" x14ac:dyDescent="0.2">
      <c r="B404" s="41" t="s">
        <v>6</v>
      </c>
      <c r="C404" s="510"/>
      <c r="D404" s="511"/>
      <c r="E404" s="512"/>
      <c r="F404" s="116"/>
      <c r="G404" s="116"/>
      <c r="H404" s="231"/>
      <c r="I404" s="231"/>
      <c r="J404" s="232"/>
      <c r="K404" s="502"/>
      <c r="L404" s="503"/>
      <c r="M404" s="443"/>
      <c r="N404" s="214"/>
      <c r="O404" s="208"/>
    </row>
    <row r="405" spans="2:15" s="204" customFormat="1" ht="13.2" outlineLevel="1" x14ac:dyDescent="0.25">
      <c r="B405" s="41"/>
      <c r="C405" s="384"/>
      <c r="D405" s="385"/>
      <c r="E405" s="385"/>
      <c r="F405" s="386"/>
      <c r="G405" s="386"/>
      <c r="H405" s="411" t="s">
        <v>744</v>
      </c>
      <c r="I405" s="231"/>
      <c r="J405" s="232"/>
      <c r="K405" s="394"/>
      <c r="L405" s="392"/>
      <c r="M405" s="444"/>
      <c r="N405" s="214"/>
      <c r="O405" s="207"/>
    </row>
    <row r="406" spans="2:15" s="204" customFormat="1" ht="13.2" outlineLevel="1" x14ac:dyDescent="0.25">
      <c r="B406" s="41"/>
      <c r="C406" s="387"/>
      <c r="D406" s="308"/>
      <c r="E406" s="308"/>
      <c r="F406" s="388"/>
      <c r="G406" s="388"/>
      <c r="H406" s="410"/>
      <c r="I406" s="231"/>
      <c r="J406" s="232"/>
      <c r="K406" s="409"/>
      <c r="L406" s="393"/>
      <c r="M406" s="445"/>
      <c r="N406" s="214"/>
      <c r="O406" s="207"/>
    </row>
    <row r="407" spans="2:15" s="204" customFormat="1" ht="13.2" outlineLevel="1" x14ac:dyDescent="0.25">
      <c r="B407" s="41"/>
      <c r="C407" s="387"/>
      <c r="D407" s="308"/>
      <c r="E407" s="308"/>
      <c r="F407" s="388"/>
      <c r="G407" s="388"/>
      <c r="H407" s="410"/>
      <c r="I407" s="231"/>
      <c r="J407" s="232"/>
      <c r="K407" s="409"/>
      <c r="L407" s="393"/>
      <c r="M407" s="445"/>
      <c r="N407" s="214"/>
      <c r="O407" s="207"/>
    </row>
    <row r="408" spans="2:15" s="204" customFormat="1" ht="13.2" outlineLevel="1" x14ac:dyDescent="0.25">
      <c r="B408" s="41"/>
      <c r="C408" s="387"/>
      <c r="D408" s="308"/>
      <c r="E408" s="308"/>
      <c r="F408" s="388"/>
      <c r="G408" s="388"/>
      <c r="H408" s="410"/>
      <c r="I408" s="231"/>
      <c r="J408" s="232"/>
      <c r="K408" s="409"/>
      <c r="L408" s="393"/>
      <c r="M408" s="445"/>
      <c r="N408" s="214"/>
      <c r="O408" s="207"/>
    </row>
    <row r="409" spans="2:15" s="204" customFormat="1" ht="13.2" outlineLevel="1" x14ac:dyDescent="0.25">
      <c r="B409" s="41"/>
      <c r="C409" s="387"/>
      <c r="D409" s="308"/>
      <c r="E409" s="308"/>
      <c r="F409" s="388"/>
      <c r="G409" s="388"/>
      <c r="H409" s="410"/>
      <c r="I409" s="231"/>
      <c r="J409" s="232"/>
      <c r="K409" s="409"/>
      <c r="L409" s="393"/>
      <c r="M409" s="445"/>
      <c r="N409" s="214"/>
      <c r="O409" s="207"/>
    </row>
    <row r="410" spans="2:15" s="204" customFormat="1" ht="13.2" outlineLevel="1" x14ac:dyDescent="0.25">
      <c r="B410" s="41"/>
      <c r="C410" s="387"/>
      <c r="D410" s="308"/>
      <c r="E410" s="308"/>
      <c r="F410" s="388"/>
      <c r="G410" s="388"/>
      <c r="H410" s="410"/>
      <c r="I410" s="231"/>
      <c r="J410" s="232"/>
      <c r="K410" s="409"/>
      <c r="L410" s="393"/>
      <c r="M410" s="445"/>
      <c r="N410" s="214"/>
      <c r="O410" s="207"/>
    </row>
    <row r="411" spans="2:15" s="204" customFormat="1" ht="13.2" outlineLevel="1" x14ac:dyDescent="0.25">
      <c r="B411" s="41"/>
      <c r="C411" s="387"/>
      <c r="D411" s="308"/>
      <c r="E411" s="308"/>
      <c r="F411" s="388"/>
      <c r="G411" s="388"/>
      <c r="H411" s="410"/>
      <c r="I411" s="231"/>
      <c r="J411" s="232"/>
      <c r="K411" s="409"/>
      <c r="L411" s="393"/>
      <c r="M411" s="445"/>
      <c r="N411" s="214"/>
      <c r="O411" s="207"/>
    </row>
    <row r="412" spans="2:15" s="204" customFormat="1" ht="13.2" outlineLevel="1" x14ac:dyDescent="0.25">
      <c r="B412" s="41"/>
      <c r="C412" s="387"/>
      <c r="D412" s="308"/>
      <c r="E412" s="308"/>
      <c r="F412" s="388"/>
      <c r="G412" s="388"/>
      <c r="H412" s="410"/>
      <c r="I412" s="231"/>
      <c r="J412" s="232"/>
      <c r="K412" s="409"/>
      <c r="L412" s="393"/>
      <c r="M412" s="445"/>
      <c r="N412" s="214"/>
      <c r="O412" s="207"/>
    </row>
    <row r="413" spans="2:15" s="204" customFormat="1" ht="13.2" outlineLevel="1" x14ac:dyDescent="0.25">
      <c r="B413" s="41"/>
      <c r="C413" s="387"/>
      <c r="D413" s="308"/>
      <c r="E413" s="308"/>
      <c r="F413" s="388"/>
      <c r="G413" s="388"/>
      <c r="H413" s="410"/>
      <c r="I413" s="231"/>
      <c r="J413" s="232"/>
      <c r="K413" s="409"/>
      <c r="L413" s="393"/>
      <c r="M413" s="445"/>
      <c r="N413" s="214"/>
      <c r="O413" s="207"/>
    </row>
    <row r="414" spans="2:15" s="204" customFormat="1" ht="13.2" outlineLevel="1" x14ac:dyDescent="0.25">
      <c r="B414" s="41"/>
      <c r="C414" s="387"/>
      <c r="D414" s="308"/>
      <c r="E414" s="308"/>
      <c r="F414" s="388"/>
      <c r="G414" s="388"/>
      <c r="H414" s="410"/>
      <c r="I414" s="231"/>
      <c r="J414" s="232"/>
      <c r="K414" s="409"/>
      <c r="L414" s="393"/>
      <c r="M414" s="445"/>
      <c r="N414" s="214"/>
      <c r="O414" s="207"/>
    </row>
    <row r="415" spans="2:15" s="204" customFormat="1" ht="13.2" outlineLevel="1" x14ac:dyDescent="0.25">
      <c r="B415" s="41"/>
      <c r="C415" s="387"/>
      <c r="D415" s="308"/>
      <c r="E415" s="308"/>
      <c r="F415" s="388"/>
      <c r="G415" s="388"/>
      <c r="H415" s="410"/>
      <c r="I415" s="231"/>
      <c r="J415" s="232"/>
      <c r="K415" s="409"/>
      <c r="L415" s="393"/>
      <c r="M415" s="445"/>
      <c r="N415" s="214"/>
      <c r="O415" s="207"/>
    </row>
    <row r="416" spans="2:15" s="204" customFormat="1" ht="13.2" outlineLevel="1" x14ac:dyDescent="0.25">
      <c r="B416" s="41"/>
      <c r="C416" s="389"/>
      <c r="D416" s="390"/>
      <c r="E416" s="390"/>
      <c r="F416" s="391"/>
      <c r="G416" s="391"/>
      <c r="H416" s="405"/>
      <c r="I416" s="231"/>
      <c r="J416" s="232"/>
      <c r="K416" s="408"/>
      <c r="L416" s="395"/>
      <c r="M416" s="446"/>
      <c r="N416" s="214"/>
      <c r="O416" s="207"/>
    </row>
    <row r="417" spans="2:15" s="204" customFormat="1" ht="68.25" customHeight="1" x14ac:dyDescent="0.25">
      <c r="B417" s="41" t="s">
        <v>7</v>
      </c>
      <c r="C417" s="510"/>
      <c r="D417" s="511"/>
      <c r="E417" s="512"/>
      <c r="F417" s="116"/>
      <c r="G417" s="116"/>
      <c r="H417" s="231"/>
      <c r="I417" s="231"/>
      <c r="J417" s="232"/>
      <c r="K417" s="502"/>
      <c r="L417" s="503"/>
      <c r="M417" s="443"/>
      <c r="N417" s="214"/>
    </row>
    <row r="418" spans="2:15" s="204" customFormat="1" ht="13.2" outlineLevel="1" x14ac:dyDescent="0.25">
      <c r="B418" s="41"/>
      <c r="C418" s="384"/>
      <c r="D418" s="385"/>
      <c r="E418" s="385"/>
      <c r="F418" s="386"/>
      <c r="G418" s="386"/>
      <c r="H418" s="411" t="s">
        <v>744</v>
      </c>
      <c r="I418" s="231"/>
      <c r="J418" s="232"/>
      <c r="K418" s="394"/>
      <c r="L418" s="392"/>
      <c r="M418" s="444"/>
      <c r="N418" s="214"/>
      <c r="O418" s="207"/>
    </row>
    <row r="419" spans="2:15" s="204" customFormat="1" ht="13.2" outlineLevel="1" x14ac:dyDescent="0.25">
      <c r="B419" s="41"/>
      <c r="C419" s="387"/>
      <c r="D419" s="308"/>
      <c r="E419" s="308"/>
      <c r="F419" s="388"/>
      <c r="G419" s="388"/>
      <c r="H419" s="410"/>
      <c r="I419" s="231"/>
      <c r="J419" s="232"/>
      <c r="K419" s="409"/>
      <c r="L419" s="393"/>
      <c r="M419" s="445"/>
      <c r="N419" s="214"/>
      <c r="O419" s="207"/>
    </row>
    <row r="420" spans="2:15" s="204" customFormat="1" ht="13.2" outlineLevel="1" x14ac:dyDescent="0.25">
      <c r="B420" s="41"/>
      <c r="C420" s="387"/>
      <c r="D420" s="308"/>
      <c r="E420" s="308"/>
      <c r="F420" s="388"/>
      <c r="G420" s="388"/>
      <c r="H420" s="410"/>
      <c r="I420" s="231"/>
      <c r="J420" s="232"/>
      <c r="K420" s="409"/>
      <c r="L420" s="393"/>
      <c r="M420" s="445"/>
      <c r="N420" s="214"/>
      <c r="O420" s="207"/>
    </row>
    <row r="421" spans="2:15" s="204" customFormat="1" ht="13.2" outlineLevel="1" x14ac:dyDescent="0.25">
      <c r="B421" s="41"/>
      <c r="C421" s="387"/>
      <c r="D421" s="308"/>
      <c r="E421" s="308"/>
      <c r="F421" s="388"/>
      <c r="G421" s="388"/>
      <c r="H421" s="410"/>
      <c r="I421" s="231"/>
      <c r="J421" s="232"/>
      <c r="K421" s="409"/>
      <c r="L421" s="393"/>
      <c r="M421" s="445"/>
      <c r="N421" s="214"/>
      <c r="O421" s="207"/>
    </row>
    <row r="422" spans="2:15" s="204" customFormat="1" ht="13.2" outlineLevel="1" x14ac:dyDescent="0.25">
      <c r="B422" s="41"/>
      <c r="C422" s="387"/>
      <c r="D422" s="308"/>
      <c r="E422" s="308"/>
      <c r="F422" s="388"/>
      <c r="G422" s="388"/>
      <c r="H422" s="410"/>
      <c r="I422" s="231"/>
      <c r="J422" s="232"/>
      <c r="K422" s="409"/>
      <c r="L422" s="393"/>
      <c r="M422" s="445"/>
      <c r="N422" s="214"/>
      <c r="O422" s="207"/>
    </row>
    <row r="423" spans="2:15" s="204" customFormat="1" ht="13.2" outlineLevel="1" x14ac:dyDescent="0.25">
      <c r="B423" s="41"/>
      <c r="C423" s="387"/>
      <c r="D423" s="308"/>
      <c r="E423" s="308"/>
      <c r="F423" s="388"/>
      <c r="G423" s="388"/>
      <c r="H423" s="410"/>
      <c r="I423" s="231"/>
      <c r="J423" s="232"/>
      <c r="K423" s="409"/>
      <c r="L423" s="393"/>
      <c r="M423" s="445"/>
      <c r="N423" s="214"/>
      <c r="O423" s="207"/>
    </row>
    <row r="424" spans="2:15" s="204" customFormat="1" ht="13.2" outlineLevel="1" x14ac:dyDescent="0.25">
      <c r="B424" s="41"/>
      <c r="C424" s="387"/>
      <c r="D424" s="308"/>
      <c r="E424" s="308"/>
      <c r="F424" s="388"/>
      <c r="G424" s="388"/>
      <c r="H424" s="410"/>
      <c r="I424" s="231"/>
      <c r="J424" s="232"/>
      <c r="K424" s="409"/>
      <c r="L424" s="393"/>
      <c r="M424" s="445"/>
      <c r="N424" s="214"/>
      <c r="O424" s="207"/>
    </row>
    <row r="425" spans="2:15" s="204" customFormat="1" ht="13.2" outlineLevel="1" x14ac:dyDescent="0.25">
      <c r="B425" s="41"/>
      <c r="C425" s="387"/>
      <c r="D425" s="308"/>
      <c r="E425" s="308"/>
      <c r="F425" s="388"/>
      <c r="G425" s="388"/>
      <c r="H425" s="410"/>
      <c r="I425" s="231"/>
      <c r="J425" s="232"/>
      <c r="K425" s="409"/>
      <c r="L425" s="393"/>
      <c r="M425" s="445"/>
      <c r="N425" s="214"/>
      <c r="O425" s="207"/>
    </row>
    <row r="426" spans="2:15" s="204" customFormat="1" ht="13.2" outlineLevel="1" x14ac:dyDescent="0.25">
      <c r="B426" s="41"/>
      <c r="C426" s="387"/>
      <c r="D426" s="308"/>
      <c r="E426" s="308"/>
      <c r="F426" s="388"/>
      <c r="G426" s="388"/>
      <c r="H426" s="410"/>
      <c r="I426" s="231"/>
      <c r="J426" s="232"/>
      <c r="K426" s="409"/>
      <c r="L426" s="393"/>
      <c r="M426" s="445"/>
      <c r="N426" s="214"/>
      <c r="O426" s="207"/>
    </row>
    <row r="427" spans="2:15" s="204" customFormat="1" ht="13.2" outlineLevel="1" x14ac:dyDescent="0.25">
      <c r="B427" s="41"/>
      <c r="C427" s="387"/>
      <c r="D427" s="308"/>
      <c r="E427" s="308"/>
      <c r="F427" s="388"/>
      <c r="G427" s="388"/>
      <c r="H427" s="410"/>
      <c r="I427" s="231"/>
      <c r="J427" s="232"/>
      <c r="K427" s="409"/>
      <c r="L427" s="393"/>
      <c r="M427" s="445"/>
      <c r="N427" s="214"/>
      <c r="O427" s="207"/>
    </row>
    <row r="428" spans="2:15" s="204" customFormat="1" ht="13.2" outlineLevel="1" x14ac:dyDescent="0.25">
      <c r="B428" s="41"/>
      <c r="C428" s="387"/>
      <c r="D428" s="308"/>
      <c r="E428" s="308"/>
      <c r="F428" s="388"/>
      <c r="G428" s="388"/>
      <c r="H428" s="410"/>
      <c r="I428" s="231"/>
      <c r="J428" s="232"/>
      <c r="K428" s="409"/>
      <c r="L428" s="393"/>
      <c r="M428" s="445"/>
      <c r="N428" s="214"/>
      <c r="O428" s="207"/>
    </row>
    <row r="429" spans="2:15" s="204" customFormat="1" ht="13.2" outlineLevel="1" x14ac:dyDescent="0.25">
      <c r="B429" s="41"/>
      <c r="C429" s="389"/>
      <c r="D429" s="390"/>
      <c r="E429" s="390"/>
      <c r="F429" s="391"/>
      <c r="G429" s="391"/>
      <c r="H429" s="405"/>
      <c r="I429" s="231"/>
      <c r="J429" s="232"/>
      <c r="K429" s="408"/>
      <c r="L429" s="395"/>
      <c r="M429" s="446"/>
      <c r="N429" s="214"/>
      <c r="O429" s="207"/>
    </row>
    <row r="430" spans="2:15" s="204" customFormat="1" ht="68.25" customHeight="1" x14ac:dyDescent="0.25">
      <c r="B430" s="41" t="s">
        <v>8</v>
      </c>
      <c r="C430" s="510"/>
      <c r="D430" s="511"/>
      <c r="E430" s="512"/>
      <c r="F430" s="116"/>
      <c r="G430" s="116"/>
      <c r="H430" s="231"/>
      <c r="I430" s="231"/>
      <c r="J430" s="232"/>
      <c r="K430" s="502"/>
      <c r="L430" s="503"/>
      <c r="M430" s="443"/>
      <c r="N430" s="214"/>
    </row>
    <row r="431" spans="2:15" s="204" customFormat="1" ht="13.2" outlineLevel="1" x14ac:dyDescent="0.25">
      <c r="B431" s="41"/>
      <c r="C431" s="384"/>
      <c r="D431" s="385"/>
      <c r="E431" s="385"/>
      <c r="F431" s="386"/>
      <c r="G431" s="386"/>
      <c r="H431" s="411" t="s">
        <v>744</v>
      </c>
      <c r="I431" s="231"/>
      <c r="J431" s="232"/>
      <c r="K431" s="394"/>
      <c r="L431" s="392"/>
      <c r="M431" s="444"/>
      <c r="N431" s="214"/>
      <c r="O431" s="207"/>
    </row>
    <row r="432" spans="2:15" s="204" customFormat="1" ht="13.2" outlineLevel="1" x14ac:dyDescent="0.25">
      <c r="B432" s="41"/>
      <c r="C432" s="387"/>
      <c r="D432" s="308"/>
      <c r="E432" s="308"/>
      <c r="F432" s="388"/>
      <c r="G432" s="388"/>
      <c r="H432" s="410"/>
      <c r="I432" s="231"/>
      <c r="J432" s="232"/>
      <c r="K432" s="409"/>
      <c r="L432" s="393"/>
      <c r="M432" s="445"/>
      <c r="N432" s="214"/>
      <c r="O432" s="207"/>
    </row>
    <row r="433" spans="2:15" s="204" customFormat="1" ht="13.2" outlineLevel="1" x14ac:dyDescent="0.25">
      <c r="B433" s="41"/>
      <c r="C433" s="387"/>
      <c r="D433" s="308"/>
      <c r="E433" s="308"/>
      <c r="F433" s="388"/>
      <c r="G433" s="388"/>
      <c r="H433" s="410"/>
      <c r="I433" s="231"/>
      <c r="J433" s="232"/>
      <c r="K433" s="409"/>
      <c r="L433" s="393"/>
      <c r="M433" s="445"/>
      <c r="N433" s="214"/>
      <c r="O433" s="207"/>
    </row>
    <row r="434" spans="2:15" s="204" customFormat="1" ht="13.2" outlineLevel="1" x14ac:dyDescent="0.25">
      <c r="B434" s="41"/>
      <c r="C434" s="387"/>
      <c r="D434" s="308"/>
      <c r="E434" s="308"/>
      <c r="F434" s="388"/>
      <c r="G434" s="388"/>
      <c r="H434" s="410"/>
      <c r="I434" s="231"/>
      <c r="J434" s="232"/>
      <c r="K434" s="409"/>
      <c r="L434" s="393"/>
      <c r="M434" s="445"/>
      <c r="N434" s="214"/>
      <c r="O434" s="207"/>
    </row>
    <row r="435" spans="2:15" s="204" customFormat="1" ht="13.2" outlineLevel="1" x14ac:dyDescent="0.25">
      <c r="B435" s="41"/>
      <c r="C435" s="387"/>
      <c r="D435" s="308"/>
      <c r="E435" s="308"/>
      <c r="F435" s="388"/>
      <c r="G435" s="388"/>
      <c r="H435" s="410"/>
      <c r="I435" s="231"/>
      <c r="J435" s="232"/>
      <c r="K435" s="409"/>
      <c r="L435" s="393"/>
      <c r="M435" s="445"/>
      <c r="N435" s="214"/>
      <c r="O435" s="207"/>
    </row>
    <row r="436" spans="2:15" s="204" customFormat="1" ht="13.2" outlineLevel="1" x14ac:dyDescent="0.25">
      <c r="B436" s="41"/>
      <c r="C436" s="387"/>
      <c r="D436" s="308"/>
      <c r="E436" s="308"/>
      <c r="F436" s="388"/>
      <c r="G436" s="388"/>
      <c r="H436" s="410"/>
      <c r="I436" s="231"/>
      <c r="J436" s="232"/>
      <c r="K436" s="409"/>
      <c r="L436" s="393"/>
      <c r="M436" s="445"/>
      <c r="N436" s="214"/>
      <c r="O436" s="207"/>
    </row>
    <row r="437" spans="2:15" s="204" customFormat="1" ht="13.2" outlineLevel="1" x14ac:dyDescent="0.25">
      <c r="B437" s="41"/>
      <c r="C437" s="387"/>
      <c r="D437" s="308"/>
      <c r="E437" s="308"/>
      <c r="F437" s="388"/>
      <c r="G437" s="388"/>
      <c r="H437" s="410"/>
      <c r="I437" s="231"/>
      <c r="J437" s="232"/>
      <c r="K437" s="409"/>
      <c r="L437" s="393"/>
      <c r="M437" s="445"/>
      <c r="N437" s="214"/>
      <c r="O437" s="207"/>
    </row>
    <row r="438" spans="2:15" s="204" customFormat="1" ht="13.2" outlineLevel="1" x14ac:dyDescent="0.25">
      <c r="B438" s="41"/>
      <c r="C438" s="387"/>
      <c r="D438" s="308"/>
      <c r="E438" s="308"/>
      <c r="F438" s="388"/>
      <c r="G438" s="388"/>
      <c r="H438" s="410"/>
      <c r="I438" s="231"/>
      <c r="J438" s="232"/>
      <c r="K438" s="409"/>
      <c r="L438" s="393"/>
      <c r="M438" s="445"/>
      <c r="N438" s="214"/>
      <c r="O438" s="207"/>
    </row>
    <row r="439" spans="2:15" s="204" customFormat="1" ht="13.2" outlineLevel="1" x14ac:dyDescent="0.25">
      <c r="B439" s="41"/>
      <c r="C439" s="387"/>
      <c r="D439" s="308"/>
      <c r="E439" s="308"/>
      <c r="F439" s="388"/>
      <c r="G439" s="388"/>
      <c r="H439" s="410"/>
      <c r="I439" s="231"/>
      <c r="J439" s="232"/>
      <c r="K439" s="409"/>
      <c r="L439" s="393"/>
      <c r="M439" s="445"/>
      <c r="N439" s="214"/>
      <c r="O439" s="207"/>
    </row>
    <row r="440" spans="2:15" s="204" customFormat="1" ht="13.2" outlineLevel="1" x14ac:dyDescent="0.25">
      <c r="B440" s="41"/>
      <c r="C440" s="387"/>
      <c r="D440" s="308"/>
      <c r="E440" s="308"/>
      <c r="F440" s="388"/>
      <c r="G440" s="388"/>
      <c r="H440" s="410"/>
      <c r="I440" s="231"/>
      <c r="J440" s="232"/>
      <c r="K440" s="409"/>
      <c r="L440" s="393"/>
      <c r="M440" s="445"/>
      <c r="N440" s="214"/>
      <c r="O440" s="207"/>
    </row>
    <row r="441" spans="2:15" s="204" customFormat="1" ht="13.2" outlineLevel="1" x14ac:dyDescent="0.25">
      <c r="B441" s="41"/>
      <c r="C441" s="387"/>
      <c r="D441" s="308"/>
      <c r="E441" s="308"/>
      <c r="F441" s="388"/>
      <c r="G441" s="388"/>
      <c r="H441" s="410"/>
      <c r="I441" s="231"/>
      <c r="J441" s="232"/>
      <c r="K441" s="409"/>
      <c r="L441" s="393"/>
      <c r="M441" s="445"/>
      <c r="N441" s="214"/>
      <c r="O441" s="207"/>
    </row>
    <row r="442" spans="2:15" s="204" customFormat="1" ht="13.2" outlineLevel="1" x14ac:dyDescent="0.25">
      <c r="B442" s="41"/>
      <c r="C442" s="389"/>
      <c r="D442" s="390"/>
      <c r="E442" s="390"/>
      <c r="F442" s="391"/>
      <c r="G442" s="391"/>
      <c r="H442" s="405"/>
      <c r="I442" s="231"/>
      <c r="J442" s="232"/>
      <c r="K442" s="408"/>
      <c r="L442" s="395"/>
      <c r="M442" s="446"/>
      <c r="N442" s="214"/>
      <c r="O442" s="207"/>
    </row>
    <row r="443" spans="2:15" s="204" customFormat="1" ht="68.25" customHeight="1" x14ac:dyDescent="0.25">
      <c r="B443" s="41" t="s">
        <v>9</v>
      </c>
      <c r="C443" s="510"/>
      <c r="D443" s="511"/>
      <c r="E443" s="512"/>
      <c r="F443" s="116"/>
      <c r="G443" s="116"/>
      <c r="H443" s="231"/>
      <c r="I443" s="231"/>
      <c r="J443" s="232"/>
      <c r="K443" s="502"/>
      <c r="L443" s="503"/>
      <c r="M443" s="443"/>
      <c r="N443" s="214"/>
    </row>
    <row r="444" spans="2:15" s="204" customFormat="1" ht="13.2" outlineLevel="1" x14ac:dyDescent="0.25">
      <c r="B444" s="41"/>
      <c r="C444" s="384"/>
      <c r="D444" s="385"/>
      <c r="E444" s="385"/>
      <c r="F444" s="386"/>
      <c r="G444" s="386"/>
      <c r="H444" s="411" t="s">
        <v>744</v>
      </c>
      <c r="I444" s="231"/>
      <c r="J444" s="232"/>
      <c r="K444" s="394"/>
      <c r="L444" s="392"/>
      <c r="M444" s="444"/>
      <c r="N444" s="214"/>
      <c r="O444" s="207"/>
    </row>
    <row r="445" spans="2:15" s="204" customFormat="1" ht="13.2" outlineLevel="1" x14ac:dyDescent="0.25">
      <c r="B445" s="41"/>
      <c r="C445" s="387"/>
      <c r="D445" s="308"/>
      <c r="E445" s="308"/>
      <c r="F445" s="388"/>
      <c r="G445" s="388"/>
      <c r="H445" s="410"/>
      <c r="I445" s="231"/>
      <c r="J445" s="232"/>
      <c r="K445" s="409"/>
      <c r="L445" s="393"/>
      <c r="M445" s="445"/>
      <c r="N445" s="214"/>
      <c r="O445" s="207"/>
    </row>
    <row r="446" spans="2:15" s="204" customFormat="1" ht="13.2" outlineLevel="1" x14ac:dyDescent="0.25">
      <c r="B446" s="41"/>
      <c r="C446" s="387"/>
      <c r="D446" s="308"/>
      <c r="E446" s="308"/>
      <c r="F446" s="388"/>
      <c r="G446" s="388"/>
      <c r="H446" s="410"/>
      <c r="I446" s="231"/>
      <c r="J446" s="232"/>
      <c r="K446" s="409"/>
      <c r="L446" s="393"/>
      <c r="M446" s="445"/>
      <c r="N446" s="214"/>
      <c r="O446" s="207"/>
    </row>
    <row r="447" spans="2:15" s="204" customFormat="1" ht="13.2" outlineLevel="1" x14ac:dyDescent="0.25">
      <c r="B447" s="41"/>
      <c r="C447" s="387"/>
      <c r="D447" s="308"/>
      <c r="E447" s="308"/>
      <c r="F447" s="388"/>
      <c r="G447" s="388"/>
      <c r="H447" s="410"/>
      <c r="I447" s="231"/>
      <c r="J447" s="232"/>
      <c r="K447" s="409"/>
      <c r="L447" s="393"/>
      <c r="M447" s="445"/>
      <c r="N447" s="214"/>
      <c r="O447" s="207"/>
    </row>
    <row r="448" spans="2:15" s="204" customFormat="1" ht="13.2" outlineLevel="1" x14ac:dyDescent="0.25">
      <c r="B448" s="41"/>
      <c r="C448" s="387"/>
      <c r="D448" s="308"/>
      <c r="E448" s="308"/>
      <c r="F448" s="388"/>
      <c r="G448" s="388"/>
      <c r="H448" s="410"/>
      <c r="I448" s="231"/>
      <c r="J448" s="232"/>
      <c r="K448" s="409"/>
      <c r="L448" s="393"/>
      <c r="M448" s="445"/>
      <c r="N448" s="214"/>
      <c r="O448" s="207"/>
    </row>
    <row r="449" spans="2:15" s="204" customFormat="1" ht="13.2" outlineLevel="1" x14ac:dyDescent="0.25">
      <c r="B449" s="41"/>
      <c r="C449" s="387"/>
      <c r="D449" s="308"/>
      <c r="E449" s="308"/>
      <c r="F449" s="388"/>
      <c r="G449" s="388"/>
      <c r="H449" s="410"/>
      <c r="I449" s="231"/>
      <c r="J449" s="232"/>
      <c r="K449" s="409"/>
      <c r="L449" s="393"/>
      <c r="M449" s="445"/>
      <c r="N449" s="214"/>
      <c r="O449" s="207"/>
    </row>
    <row r="450" spans="2:15" s="204" customFormat="1" ht="13.2" outlineLevel="1" x14ac:dyDescent="0.25">
      <c r="B450" s="41"/>
      <c r="C450" s="387"/>
      <c r="D450" s="308"/>
      <c r="E450" s="308"/>
      <c r="F450" s="388"/>
      <c r="G450" s="388"/>
      <c r="H450" s="410"/>
      <c r="I450" s="231"/>
      <c r="J450" s="232"/>
      <c r="K450" s="409"/>
      <c r="L450" s="393"/>
      <c r="M450" s="445"/>
      <c r="N450" s="214"/>
      <c r="O450" s="207"/>
    </row>
    <row r="451" spans="2:15" s="204" customFormat="1" ht="13.2" outlineLevel="1" x14ac:dyDescent="0.25">
      <c r="B451" s="41"/>
      <c r="C451" s="387"/>
      <c r="D451" s="308"/>
      <c r="E451" s="308"/>
      <c r="F451" s="388"/>
      <c r="G451" s="388"/>
      <c r="H451" s="410"/>
      <c r="I451" s="231"/>
      <c r="J451" s="232"/>
      <c r="K451" s="409"/>
      <c r="L451" s="393"/>
      <c r="M451" s="445"/>
      <c r="N451" s="214"/>
      <c r="O451" s="207"/>
    </row>
    <row r="452" spans="2:15" s="204" customFormat="1" ht="13.2" outlineLevel="1" x14ac:dyDescent="0.25">
      <c r="B452" s="41"/>
      <c r="C452" s="387"/>
      <c r="D452" s="308"/>
      <c r="E452" s="308"/>
      <c r="F452" s="388"/>
      <c r="G452" s="388"/>
      <c r="H452" s="410"/>
      <c r="I452" s="231"/>
      <c r="J452" s="232"/>
      <c r="K452" s="409"/>
      <c r="L452" s="393"/>
      <c r="M452" s="445"/>
      <c r="N452" s="214"/>
      <c r="O452" s="207"/>
    </row>
    <row r="453" spans="2:15" s="204" customFormat="1" ht="13.2" outlineLevel="1" x14ac:dyDescent="0.25">
      <c r="B453" s="41"/>
      <c r="C453" s="387"/>
      <c r="D453" s="308"/>
      <c r="E453" s="308"/>
      <c r="F453" s="388"/>
      <c r="G453" s="388"/>
      <c r="H453" s="410"/>
      <c r="I453" s="231"/>
      <c r="J453" s="232"/>
      <c r="K453" s="409"/>
      <c r="L453" s="393"/>
      <c r="M453" s="445"/>
      <c r="N453" s="214"/>
      <c r="O453" s="207"/>
    </row>
    <row r="454" spans="2:15" s="204" customFormat="1" ht="13.2" outlineLevel="1" x14ac:dyDescent="0.25">
      <c r="B454" s="41"/>
      <c r="C454" s="387"/>
      <c r="D454" s="308"/>
      <c r="E454" s="308"/>
      <c r="F454" s="388"/>
      <c r="G454" s="388"/>
      <c r="H454" s="410"/>
      <c r="I454" s="231"/>
      <c r="J454" s="232"/>
      <c r="K454" s="409"/>
      <c r="L454" s="393"/>
      <c r="M454" s="445"/>
      <c r="N454" s="214"/>
      <c r="O454" s="207"/>
    </row>
    <row r="455" spans="2:15" s="204" customFormat="1" ht="13.2" outlineLevel="1" x14ac:dyDescent="0.25">
      <c r="B455" s="41"/>
      <c r="C455" s="389"/>
      <c r="D455" s="390"/>
      <c r="E455" s="390"/>
      <c r="F455" s="391"/>
      <c r="G455" s="391"/>
      <c r="H455" s="405"/>
      <c r="I455" s="231"/>
      <c r="J455" s="232"/>
      <c r="K455" s="408"/>
      <c r="L455" s="395"/>
      <c r="M455" s="446"/>
      <c r="N455" s="214"/>
      <c r="O455" s="207"/>
    </row>
    <row r="456" spans="2:15" s="204" customFormat="1" ht="68.25" customHeight="1" x14ac:dyDescent="0.25">
      <c r="B456" s="41" t="s">
        <v>10</v>
      </c>
      <c r="C456" s="510"/>
      <c r="D456" s="511"/>
      <c r="E456" s="512"/>
      <c r="F456" s="116"/>
      <c r="G456" s="116"/>
      <c r="H456" s="231"/>
      <c r="I456" s="231"/>
      <c r="J456" s="232"/>
      <c r="K456" s="502"/>
      <c r="L456" s="503"/>
      <c r="M456" s="443"/>
      <c r="N456" s="214"/>
    </row>
    <row r="457" spans="2:15" s="204" customFormat="1" ht="13.2" outlineLevel="1" x14ac:dyDescent="0.25">
      <c r="B457" s="41"/>
      <c r="C457" s="384"/>
      <c r="D457" s="385"/>
      <c r="E457" s="385"/>
      <c r="F457" s="386"/>
      <c r="G457" s="386"/>
      <c r="H457" s="411" t="s">
        <v>744</v>
      </c>
      <c r="I457" s="231"/>
      <c r="J457" s="232"/>
      <c r="K457" s="394"/>
      <c r="L457" s="392"/>
      <c r="M457" s="444"/>
      <c r="N457" s="214"/>
      <c r="O457" s="207"/>
    </row>
    <row r="458" spans="2:15" s="204" customFormat="1" ht="13.2" outlineLevel="1" x14ac:dyDescent="0.25">
      <c r="B458" s="41"/>
      <c r="C458" s="387"/>
      <c r="D458" s="308"/>
      <c r="E458" s="308"/>
      <c r="F458" s="388"/>
      <c r="G458" s="388"/>
      <c r="H458" s="410"/>
      <c r="I458" s="231"/>
      <c r="J458" s="232"/>
      <c r="K458" s="409"/>
      <c r="L458" s="393"/>
      <c r="M458" s="445"/>
      <c r="N458" s="214"/>
      <c r="O458" s="207"/>
    </row>
    <row r="459" spans="2:15" s="204" customFormat="1" ht="13.2" outlineLevel="1" x14ac:dyDescent="0.25">
      <c r="B459" s="41"/>
      <c r="C459" s="387"/>
      <c r="D459" s="308"/>
      <c r="E459" s="308"/>
      <c r="F459" s="388"/>
      <c r="G459" s="388"/>
      <c r="H459" s="410"/>
      <c r="I459" s="231"/>
      <c r="J459" s="232"/>
      <c r="K459" s="409"/>
      <c r="L459" s="393"/>
      <c r="M459" s="445"/>
      <c r="N459" s="214"/>
      <c r="O459" s="207"/>
    </row>
    <row r="460" spans="2:15" s="204" customFormat="1" ht="13.2" outlineLevel="1" x14ac:dyDescent="0.25">
      <c r="B460" s="41"/>
      <c r="C460" s="387"/>
      <c r="D460" s="308"/>
      <c r="E460" s="308"/>
      <c r="F460" s="388"/>
      <c r="G460" s="388"/>
      <c r="H460" s="410"/>
      <c r="I460" s="231"/>
      <c r="J460" s="232"/>
      <c r="K460" s="409"/>
      <c r="L460" s="393"/>
      <c r="M460" s="445"/>
      <c r="N460" s="214"/>
      <c r="O460" s="207"/>
    </row>
    <row r="461" spans="2:15" s="204" customFormat="1" ht="13.2" outlineLevel="1" x14ac:dyDescent="0.25">
      <c r="B461" s="41"/>
      <c r="C461" s="387"/>
      <c r="D461" s="308"/>
      <c r="E461" s="308"/>
      <c r="F461" s="388"/>
      <c r="G461" s="388"/>
      <c r="H461" s="410"/>
      <c r="I461" s="231"/>
      <c r="J461" s="232"/>
      <c r="K461" s="409"/>
      <c r="L461" s="393"/>
      <c r="M461" s="445"/>
      <c r="N461" s="214"/>
      <c r="O461" s="207"/>
    </row>
    <row r="462" spans="2:15" s="204" customFormat="1" ht="13.2" outlineLevel="1" x14ac:dyDescent="0.25">
      <c r="B462" s="41"/>
      <c r="C462" s="387"/>
      <c r="D462" s="308"/>
      <c r="E462" s="308"/>
      <c r="F462" s="388"/>
      <c r="G462" s="388"/>
      <c r="H462" s="410"/>
      <c r="I462" s="231"/>
      <c r="J462" s="232"/>
      <c r="K462" s="409"/>
      <c r="L462" s="393"/>
      <c r="M462" s="445"/>
      <c r="N462" s="214"/>
      <c r="O462" s="207"/>
    </row>
    <row r="463" spans="2:15" s="204" customFormat="1" ht="13.2" outlineLevel="1" x14ac:dyDescent="0.25">
      <c r="B463" s="41"/>
      <c r="C463" s="387"/>
      <c r="D463" s="308"/>
      <c r="E463" s="308"/>
      <c r="F463" s="388"/>
      <c r="G463" s="388"/>
      <c r="H463" s="410"/>
      <c r="I463" s="231"/>
      <c r="J463" s="232"/>
      <c r="K463" s="409"/>
      <c r="L463" s="393"/>
      <c r="M463" s="445"/>
      <c r="N463" s="214"/>
      <c r="O463" s="207"/>
    </row>
    <row r="464" spans="2:15" s="204" customFormat="1" ht="13.2" outlineLevel="1" x14ac:dyDescent="0.25">
      <c r="B464" s="41"/>
      <c r="C464" s="387"/>
      <c r="D464" s="308"/>
      <c r="E464" s="308"/>
      <c r="F464" s="388"/>
      <c r="G464" s="388"/>
      <c r="H464" s="410"/>
      <c r="I464" s="231"/>
      <c r="J464" s="232"/>
      <c r="K464" s="409"/>
      <c r="L464" s="393"/>
      <c r="M464" s="445"/>
      <c r="N464" s="214"/>
      <c r="O464" s="207"/>
    </row>
    <row r="465" spans="2:15" s="204" customFormat="1" ht="13.2" outlineLevel="1" x14ac:dyDescent="0.25">
      <c r="B465" s="41"/>
      <c r="C465" s="387"/>
      <c r="D465" s="308"/>
      <c r="E465" s="308"/>
      <c r="F465" s="388"/>
      <c r="G465" s="388"/>
      <c r="H465" s="410"/>
      <c r="I465" s="231"/>
      <c r="J465" s="232"/>
      <c r="K465" s="409"/>
      <c r="L465" s="393"/>
      <c r="M465" s="445"/>
      <c r="N465" s="214"/>
      <c r="O465" s="207"/>
    </row>
    <row r="466" spans="2:15" s="204" customFormat="1" ht="13.2" outlineLevel="1" x14ac:dyDescent="0.25">
      <c r="B466" s="41"/>
      <c r="C466" s="387"/>
      <c r="D466" s="308"/>
      <c r="E466" s="308"/>
      <c r="F466" s="388"/>
      <c r="G466" s="388"/>
      <c r="H466" s="410"/>
      <c r="I466" s="231"/>
      <c r="J466" s="232"/>
      <c r="K466" s="409"/>
      <c r="L466" s="393"/>
      <c r="M466" s="445"/>
      <c r="N466" s="214"/>
      <c r="O466" s="207"/>
    </row>
    <row r="467" spans="2:15" s="204" customFormat="1" ht="13.2" outlineLevel="1" x14ac:dyDescent="0.25">
      <c r="B467" s="41"/>
      <c r="C467" s="387"/>
      <c r="D467" s="308"/>
      <c r="E467" s="308"/>
      <c r="F467" s="388"/>
      <c r="G467" s="388"/>
      <c r="H467" s="410"/>
      <c r="I467" s="231"/>
      <c r="J467" s="232"/>
      <c r="K467" s="409"/>
      <c r="L467" s="393"/>
      <c r="M467" s="445"/>
      <c r="N467" s="214"/>
      <c r="O467" s="207"/>
    </row>
    <row r="468" spans="2:15" s="204" customFormat="1" ht="13.2" outlineLevel="1" x14ac:dyDescent="0.25">
      <c r="B468" s="41"/>
      <c r="C468" s="389"/>
      <c r="D468" s="390"/>
      <c r="E468" s="390"/>
      <c r="F468" s="391"/>
      <c r="G468" s="391"/>
      <c r="H468" s="405"/>
      <c r="I468" s="231"/>
      <c r="J468" s="232"/>
      <c r="K468" s="409"/>
      <c r="L468" s="393"/>
      <c r="M468" s="445"/>
      <c r="N468" s="214"/>
      <c r="O468" s="207"/>
    </row>
    <row r="469" spans="2:15" customFormat="1" ht="7.5" customHeight="1" thickBot="1" x14ac:dyDescent="0.3">
      <c r="B469" s="215"/>
      <c r="C469" s="216"/>
      <c r="D469" s="216"/>
      <c r="E469" s="216"/>
      <c r="F469" s="216"/>
      <c r="G469" s="216"/>
      <c r="H469" s="216"/>
      <c r="I469" s="216"/>
      <c r="J469" s="216"/>
      <c r="K469" s="216"/>
      <c r="L469" s="216"/>
      <c r="M469" s="447"/>
      <c r="N469" s="217"/>
    </row>
    <row r="470" spans="2:15" customFormat="1" ht="7.5" customHeight="1" x14ac:dyDescent="0.25">
      <c r="B470" s="209"/>
      <c r="C470" s="209"/>
      <c r="D470" s="209"/>
      <c r="E470" s="209"/>
      <c r="F470" s="209"/>
      <c r="G470" s="209"/>
      <c r="H470" s="209"/>
      <c r="I470" s="209"/>
      <c r="J470" s="209"/>
      <c r="K470" s="209"/>
      <c r="L470" s="209"/>
      <c r="M470" s="448"/>
    </row>
    <row r="471" spans="2:15" customFormat="1" ht="7.5" customHeight="1" thickBot="1" x14ac:dyDescent="0.3">
      <c r="B471" s="209"/>
      <c r="C471" s="209"/>
      <c r="D471" s="209"/>
      <c r="E471" s="209"/>
      <c r="F471" s="209"/>
      <c r="G471" s="209"/>
      <c r="H471" s="209"/>
      <c r="I471" s="209"/>
      <c r="J471" s="209"/>
      <c r="K471" s="209"/>
      <c r="L471" s="209"/>
      <c r="M471" s="448"/>
      <c r="N471" s="209"/>
    </row>
    <row r="472" spans="2:15" customFormat="1" ht="7.5" customHeight="1" thickBot="1" x14ac:dyDescent="0.3">
      <c r="B472" s="227"/>
      <c r="C472" s="226"/>
      <c r="D472" s="226"/>
      <c r="E472" s="226"/>
      <c r="F472" s="226"/>
      <c r="G472" s="226"/>
      <c r="H472" s="226"/>
      <c r="I472" s="226"/>
      <c r="J472" s="226"/>
      <c r="K472" s="226"/>
      <c r="L472" s="226"/>
      <c r="M472" s="449"/>
      <c r="N472" s="228"/>
    </row>
    <row r="473" spans="2:15" s="9" customFormat="1" ht="23.25" customHeight="1" thickBot="1" x14ac:dyDescent="0.3">
      <c r="B473" s="224" t="s">
        <v>290</v>
      </c>
      <c r="C473" s="220" t="s">
        <v>405</v>
      </c>
      <c r="D473" s="221"/>
      <c r="E473" s="221"/>
      <c r="F473" s="221"/>
      <c r="G473" s="221"/>
      <c r="H473" s="221"/>
      <c r="I473" s="222"/>
      <c r="J473" s="222"/>
      <c r="K473" s="222"/>
      <c r="L473" s="222"/>
      <c r="M473" s="450"/>
      <c r="N473" s="40"/>
    </row>
    <row r="474" spans="2:15" customFormat="1" ht="7.5" customHeight="1" x14ac:dyDescent="0.25">
      <c r="B474" s="229"/>
      <c r="C474" s="209"/>
      <c r="D474" s="209"/>
      <c r="E474" s="209"/>
      <c r="F474" s="209"/>
      <c r="G474" s="209"/>
      <c r="H474" s="209"/>
      <c r="I474" s="209"/>
      <c r="J474" s="209"/>
      <c r="K474" s="209"/>
      <c r="L474" s="225"/>
      <c r="M474" s="448"/>
      <c r="N474" s="230"/>
    </row>
    <row r="475" spans="2:15" s="204" customFormat="1" ht="32.25" customHeight="1" x14ac:dyDescent="0.25">
      <c r="B475" s="213"/>
      <c r="C475" s="581" t="s">
        <v>384</v>
      </c>
      <c r="D475" s="582"/>
      <c r="E475" s="583"/>
      <c r="F475" s="205" t="s">
        <v>385</v>
      </c>
      <c r="G475" s="205" t="s">
        <v>386</v>
      </c>
      <c r="H475" s="205" t="s">
        <v>279</v>
      </c>
      <c r="I475" s="205" t="s">
        <v>280</v>
      </c>
      <c r="J475" s="205" t="s">
        <v>281</v>
      </c>
      <c r="K475" s="487" t="s">
        <v>776</v>
      </c>
      <c r="L475" s="488"/>
      <c r="M475" s="443" t="s">
        <v>388</v>
      </c>
      <c r="N475" s="214"/>
    </row>
    <row r="476" spans="2:15" s="204" customFormat="1" ht="75" customHeight="1" x14ac:dyDescent="0.25">
      <c r="B476" s="235" t="s">
        <v>291</v>
      </c>
      <c r="C476" s="465"/>
      <c r="D476" s="506"/>
      <c r="E476" s="507"/>
      <c r="F476" s="116"/>
      <c r="G476" s="116"/>
      <c r="H476" s="233"/>
      <c r="I476" s="233"/>
      <c r="J476" s="234"/>
      <c r="K476" s="504"/>
      <c r="L476" s="505"/>
      <c r="M476" s="443"/>
      <c r="N476" s="214"/>
    </row>
    <row r="477" spans="2:15" s="204" customFormat="1" ht="13.2" outlineLevel="1" x14ac:dyDescent="0.25">
      <c r="B477" s="41"/>
      <c r="C477" s="384"/>
      <c r="D477" s="385"/>
      <c r="E477" s="385"/>
      <c r="F477" s="386"/>
      <c r="G477" s="386"/>
      <c r="H477" s="407" t="s">
        <v>744</v>
      </c>
      <c r="I477" s="231"/>
      <c r="J477" s="232"/>
      <c r="K477" s="404"/>
      <c r="L477" s="392"/>
      <c r="M477" s="444"/>
      <c r="N477" s="214"/>
      <c r="O477" s="207"/>
    </row>
    <row r="478" spans="2:15" s="204" customFormat="1" ht="13.2" outlineLevel="1" x14ac:dyDescent="0.25">
      <c r="B478" s="41"/>
      <c r="C478" s="387"/>
      <c r="D478" s="308"/>
      <c r="E478" s="308"/>
      <c r="F478" s="388"/>
      <c r="G478" s="388"/>
      <c r="H478" s="403"/>
      <c r="I478" s="231"/>
      <c r="J478" s="232"/>
      <c r="K478" s="404"/>
      <c r="L478" s="393"/>
      <c r="M478" s="445"/>
      <c r="N478" s="214"/>
      <c r="O478" s="207"/>
    </row>
    <row r="479" spans="2:15" s="204" customFormat="1" ht="13.2" outlineLevel="1" x14ac:dyDescent="0.25">
      <c r="B479" s="41"/>
      <c r="C479" s="387"/>
      <c r="D479" s="308"/>
      <c r="E479" s="308"/>
      <c r="F479" s="388"/>
      <c r="G479" s="388"/>
      <c r="H479" s="403"/>
      <c r="I479" s="231"/>
      <c r="J479" s="232"/>
      <c r="K479" s="404"/>
      <c r="L479" s="393"/>
      <c r="M479" s="445"/>
      <c r="N479" s="214"/>
      <c r="O479" s="207"/>
    </row>
    <row r="480" spans="2:15" s="204" customFormat="1" ht="13.2" outlineLevel="1" x14ac:dyDescent="0.25">
      <c r="B480" s="41"/>
      <c r="C480" s="387"/>
      <c r="D480" s="308"/>
      <c r="E480" s="308"/>
      <c r="F480" s="388"/>
      <c r="G480" s="388"/>
      <c r="H480" s="403"/>
      <c r="I480" s="231"/>
      <c r="J480" s="232"/>
      <c r="K480" s="404"/>
      <c r="L480" s="393"/>
      <c r="M480" s="445"/>
      <c r="N480" s="214"/>
      <c r="O480" s="207"/>
    </row>
    <row r="481" spans="2:15" s="204" customFormat="1" ht="13.2" outlineLevel="1" x14ac:dyDescent="0.25">
      <c r="B481" s="41"/>
      <c r="C481" s="387"/>
      <c r="D481" s="308"/>
      <c r="E481" s="308"/>
      <c r="F481" s="388"/>
      <c r="G481" s="388"/>
      <c r="H481" s="403"/>
      <c r="I481" s="231"/>
      <c r="J481" s="232"/>
      <c r="K481" s="404"/>
      <c r="L481" s="393"/>
      <c r="M481" s="445"/>
      <c r="N481" s="214"/>
      <c r="O481" s="207"/>
    </row>
    <row r="482" spans="2:15" s="204" customFormat="1" ht="13.2" outlineLevel="1" x14ac:dyDescent="0.25">
      <c r="B482" s="41"/>
      <c r="C482" s="387"/>
      <c r="D482" s="308"/>
      <c r="E482" s="308"/>
      <c r="F482" s="388"/>
      <c r="G482" s="388"/>
      <c r="H482" s="403"/>
      <c r="I482" s="231"/>
      <c r="J482" s="232"/>
      <c r="K482" s="404"/>
      <c r="L482" s="393"/>
      <c r="M482" s="445"/>
      <c r="N482" s="214"/>
      <c r="O482" s="207"/>
    </row>
    <row r="483" spans="2:15" s="204" customFormat="1" ht="13.2" outlineLevel="1" x14ac:dyDescent="0.25">
      <c r="B483" s="41"/>
      <c r="C483" s="387"/>
      <c r="D483" s="308"/>
      <c r="E483" s="308"/>
      <c r="F483" s="388"/>
      <c r="G483" s="388"/>
      <c r="H483" s="403"/>
      <c r="I483" s="231"/>
      <c r="J483" s="232"/>
      <c r="K483" s="404"/>
      <c r="L483" s="393"/>
      <c r="M483" s="445"/>
      <c r="N483" s="214"/>
      <c r="O483" s="207"/>
    </row>
    <row r="484" spans="2:15" s="204" customFormat="1" ht="13.2" outlineLevel="1" x14ac:dyDescent="0.25">
      <c r="B484" s="41"/>
      <c r="C484" s="387"/>
      <c r="D484" s="308"/>
      <c r="E484" s="308"/>
      <c r="F484" s="388"/>
      <c r="G484" s="388"/>
      <c r="H484" s="403"/>
      <c r="I484" s="231"/>
      <c r="J484" s="232"/>
      <c r="K484" s="404"/>
      <c r="L484" s="393"/>
      <c r="M484" s="445"/>
      <c r="N484" s="214"/>
      <c r="O484" s="207"/>
    </row>
    <row r="485" spans="2:15" s="204" customFormat="1" ht="13.2" outlineLevel="1" x14ac:dyDescent="0.25">
      <c r="B485" s="41"/>
      <c r="C485" s="387"/>
      <c r="D485" s="308"/>
      <c r="E485" s="308"/>
      <c r="F485" s="388"/>
      <c r="G485" s="388"/>
      <c r="H485" s="403"/>
      <c r="I485" s="231"/>
      <c r="J485" s="232"/>
      <c r="K485" s="404"/>
      <c r="L485" s="393"/>
      <c r="M485" s="445"/>
      <c r="N485" s="214"/>
      <c r="O485" s="207"/>
    </row>
    <row r="486" spans="2:15" s="204" customFormat="1" ht="13.2" outlineLevel="1" x14ac:dyDescent="0.25">
      <c r="B486" s="41"/>
      <c r="C486" s="387"/>
      <c r="D486" s="308"/>
      <c r="E486" s="308"/>
      <c r="F486" s="388"/>
      <c r="G486" s="388"/>
      <c r="H486" s="403"/>
      <c r="I486" s="231"/>
      <c r="J486" s="232"/>
      <c r="K486" s="404"/>
      <c r="L486" s="393"/>
      <c r="M486" s="445"/>
      <c r="N486" s="214"/>
      <c r="O486" s="207"/>
    </row>
    <row r="487" spans="2:15" s="204" customFormat="1" ht="13.2" outlineLevel="1" x14ac:dyDescent="0.25">
      <c r="B487" s="41"/>
      <c r="C487" s="387"/>
      <c r="D487" s="308"/>
      <c r="E487" s="308"/>
      <c r="F487" s="388"/>
      <c r="G487" s="388"/>
      <c r="H487" s="403"/>
      <c r="I487" s="231"/>
      <c r="J487" s="232"/>
      <c r="K487" s="404"/>
      <c r="L487" s="393"/>
      <c r="M487" s="445"/>
      <c r="N487" s="214"/>
      <c r="O487" s="207"/>
    </row>
    <row r="488" spans="2:15" s="204" customFormat="1" ht="13.2" outlineLevel="1" x14ac:dyDescent="0.25">
      <c r="B488" s="41"/>
      <c r="C488" s="389"/>
      <c r="D488" s="390"/>
      <c r="E488" s="390"/>
      <c r="F488" s="391"/>
      <c r="G488" s="391"/>
      <c r="H488" s="405"/>
      <c r="I488" s="231"/>
      <c r="J488" s="232"/>
      <c r="K488" s="416"/>
      <c r="L488" s="395"/>
      <c r="M488" s="446"/>
      <c r="N488" s="214"/>
      <c r="O488" s="207"/>
    </row>
    <row r="489" spans="2:15" s="204" customFormat="1" ht="75" customHeight="1" x14ac:dyDescent="0.25">
      <c r="B489" s="235" t="s">
        <v>406</v>
      </c>
      <c r="C489" s="465"/>
      <c r="D489" s="506"/>
      <c r="E489" s="507"/>
      <c r="F489" s="116"/>
      <c r="G489" s="116"/>
      <c r="H489" s="233"/>
      <c r="I489" s="233"/>
      <c r="J489" s="234"/>
      <c r="K489" s="504"/>
      <c r="L489" s="505"/>
      <c r="M489" s="443"/>
      <c r="N489" s="214"/>
    </row>
    <row r="490" spans="2:15" s="204" customFormat="1" ht="13.2" outlineLevel="1" x14ac:dyDescent="0.25">
      <c r="B490" s="41"/>
      <c r="C490" s="384"/>
      <c r="D490" s="385"/>
      <c r="E490" s="385"/>
      <c r="F490" s="386"/>
      <c r="G490" s="386"/>
      <c r="H490" s="407" t="s">
        <v>744</v>
      </c>
      <c r="I490" s="231"/>
      <c r="J490" s="232"/>
      <c r="K490" s="404"/>
      <c r="L490" s="392"/>
      <c r="M490" s="444"/>
      <c r="N490" s="214"/>
      <c r="O490" s="207"/>
    </row>
    <row r="491" spans="2:15" s="204" customFormat="1" ht="13.2" outlineLevel="1" x14ac:dyDescent="0.25">
      <c r="B491" s="41"/>
      <c r="C491" s="387"/>
      <c r="D491" s="308"/>
      <c r="E491" s="308"/>
      <c r="F491" s="388"/>
      <c r="G491" s="388"/>
      <c r="H491" s="403"/>
      <c r="I491" s="231"/>
      <c r="J491" s="232"/>
      <c r="K491" s="404"/>
      <c r="L491" s="393"/>
      <c r="M491" s="445"/>
      <c r="N491" s="214"/>
      <c r="O491" s="207"/>
    </row>
    <row r="492" spans="2:15" s="204" customFormat="1" ht="13.2" outlineLevel="1" x14ac:dyDescent="0.25">
      <c r="B492" s="41"/>
      <c r="C492" s="387"/>
      <c r="D492" s="308"/>
      <c r="E492" s="308"/>
      <c r="F492" s="388"/>
      <c r="G492" s="388"/>
      <c r="H492" s="403"/>
      <c r="I492" s="231"/>
      <c r="J492" s="232"/>
      <c r="K492" s="404"/>
      <c r="L492" s="393"/>
      <c r="M492" s="445"/>
      <c r="N492" s="214"/>
      <c r="O492" s="207"/>
    </row>
    <row r="493" spans="2:15" s="204" customFormat="1" ht="13.2" outlineLevel="1" x14ac:dyDescent="0.25">
      <c r="B493" s="41"/>
      <c r="C493" s="387"/>
      <c r="D493" s="308"/>
      <c r="E493" s="308"/>
      <c r="F493" s="388"/>
      <c r="G493" s="388"/>
      <c r="H493" s="403"/>
      <c r="I493" s="231"/>
      <c r="J493" s="232"/>
      <c r="K493" s="404"/>
      <c r="L493" s="393"/>
      <c r="M493" s="445"/>
      <c r="N493" s="214"/>
      <c r="O493" s="207"/>
    </row>
    <row r="494" spans="2:15" s="204" customFormat="1" ht="13.2" outlineLevel="1" x14ac:dyDescent="0.25">
      <c r="B494" s="41"/>
      <c r="C494" s="387"/>
      <c r="D494" s="308"/>
      <c r="E494" s="308"/>
      <c r="F494" s="388"/>
      <c r="G494" s="388"/>
      <c r="H494" s="403"/>
      <c r="I494" s="231"/>
      <c r="J494" s="232"/>
      <c r="K494" s="404"/>
      <c r="L494" s="393"/>
      <c r="M494" s="445"/>
      <c r="N494" s="214"/>
      <c r="O494" s="207"/>
    </row>
    <row r="495" spans="2:15" s="204" customFormat="1" ht="13.2" outlineLevel="1" x14ac:dyDescent="0.25">
      <c r="B495" s="41"/>
      <c r="C495" s="387"/>
      <c r="D495" s="308"/>
      <c r="E495" s="308"/>
      <c r="F495" s="388"/>
      <c r="G495" s="388"/>
      <c r="H495" s="403"/>
      <c r="I495" s="231"/>
      <c r="J495" s="232"/>
      <c r="K495" s="404"/>
      <c r="L495" s="393"/>
      <c r="M495" s="445"/>
      <c r="N495" s="214"/>
      <c r="O495" s="207"/>
    </row>
    <row r="496" spans="2:15" s="204" customFormat="1" ht="13.2" outlineLevel="1" x14ac:dyDescent="0.25">
      <c r="B496" s="41"/>
      <c r="C496" s="387"/>
      <c r="D496" s="308"/>
      <c r="E496" s="308"/>
      <c r="F496" s="388"/>
      <c r="G496" s="388"/>
      <c r="H496" s="403"/>
      <c r="I496" s="231"/>
      <c r="J496" s="232"/>
      <c r="K496" s="404"/>
      <c r="L496" s="393"/>
      <c r="M496" s="445"/>
      <c r="N496" s="214"/>
      <c r="O496" s="207"/>
    </row>
    <row r="497" spans="2:15" s="204" customFormat="1" ht="13.2" outlineLevel="1" x14ac:dyDescent="0.25">
      <c r="B497" s="41"/>
      <c r="C497" s="387"/>
      <c r="D497" s="308"/>
      <c r="E497" s="308"/>
      <c r="F497" s="388"/>
      <c r="G497" s="388"/>
      <c r="H497" s="403"/>
      <c r="I497" s="231"/>
      <c r="J497" s="232"/>
      <c r="K497" s="404"/>
      <c r="L497" s="393"/>
      <c r="M497" s="445"/>
      <c r="N497" s="214"/>
      <c r="O497" s="207"/>
    </row>
    <row r="498" spans="2:15" s="204" customFormat="1" ht="13.2" outlineLevel="1" x14ac:dyDescent="0.25">
      <c r="B498" s="41"/>
      <c r="C498" s="387"/>
      <c r="D498" s="308"/>
      <c r="E498" s="308"/>
      <c r="F498" s="388"/>
      <c r="G498" s="388"/>
      <c r="H498" s="403"/>
      <c r="I498" s="231"/>
      <c r="J498" s="232"/>
      <c r="K498" s="404"/>
      <c r="L498" s="393"/>
      <c r="M498" s="445"/>
      <c r="N498" s="214"/>
      <c r="O498" s="207"/>
    </row>
    <row r="499" spans="2:15" s="204" customFormat="1" ht="13.2" outlineLevel="1" x14ac:dyDescent="0.25">
      <c r="B499" s="41"/>
      <c r="C499" s="387"/>
      <c r="D499" s="308"/>
      <c r="E499" s="308"/>
      <c r="F499" s="388"/>
      <c r="G499" s="388"/>
      <c r="H499" s="403"/>
      <c r="I499" s="231"/>
      <c r="J499" s="232"/>
      <c r="K499" s="404"/>
      <c r="L499" s="393"/>
      <c r="M499" s="445"/>
      <c r="N499" s="214"/>
      <c r="O499" s="207"/>
    </row>
    <row r="500" spans="2:15" s="204" customFormat="1" ht="13.2" outlineLevel="1" x14ac:dyDescent="0.25">
      <c r="B500" s="41"/>
      <c r="C500" s="387"/>
      <c r="D500" s="308"/>
      <c r="E500" s="308"/>
      <c r="F500" s="388"/>
      <c r="G500" s="388"/>
      <c r="H500" s="403"/>
      <c r="I500" s="231"/>
      <c r="J500" s="232"/>
      <c r="K500" s="404"/>
      <c r="L500" s="393"/>
      <c r="M500" s="445"/>
      <c r="N500" s="214"/>
      <c r="O500" s="207"/>
    </row>
    <row r="501" spans="2:15" s="204" customFormat="1" ht="13.2" outlineLevel="1" x14ac:dyDescent="0.25">
      <c r="B501" s="41"/>
      <c r="C501" s="389"/>
      <c r="D501" s="390"/>
      <c r="E501" s="390"/>
      <c r="F501" s="391"/>
      <c r="G501" s="391"/>
      <c r="H501" s="405"/>
      <c r="I501" s="231"/>
      <c r="J501" s="232"/>
      <c r="K501" s="416"/>
      <c r="L501" s="395"/>
      <c r="M501" s="446"/>
      <c r="N501" s="214"/>
      <c r="O501" s="207"/>
    </row>
    <row r="502" spans="2:15" s="204" customFormat="1" ht="75" customHeight="1" x14ac:dyDescent="0.25">
      <c r="B502" s="235" t="s">
        <v>407</v>
      </c>
      <c r="C502" s="465"/>
      <c r="D502" s="506"/>
      <c r="E502" s="507"/>
      <c r="F502" s="116"/>
      <c r="G502" s="116"/>
      <c r="H502" s="233"/>
      <c r="I502" s="233"/>
      <c r="J502" s="234"/>
      <c r="K502" s="504"/>
      <c r="L502" s="505"/>
      <c r="M502" s="443"/>
      <c r="N502" s="214"/>
    </row>
    <row r="503" spans="2:15" s="204" customFormat="1" ht="13.2" outlineLevel="1" x14ac:dyDescent="0.25">
      <c r="B503" s="41"/>
      <c r="C503" s="384"/>
      <c r="D503" s="385"/>
      <c r="E503" s="385"/>
      <c r="F503" s="386"/>
      <c r="G503" s="386"/>
      <c r="H503" s="407" t="s">
        <v>744</v>
      </c>
      <c r="I503" s="231"/>
      <c r="J503" s="232"/>
      <c r="K503" s="404"/>
      <c r="L503" s="392"/>
      <c r="M503" s="444"/>
      <c r="N503" s="214"/>
      <c r="O503" s="207"/>
    </row>
    <row r="504" spans="2:15" s="204" customFormat="1" ht="13.2" outlineLevel="1" x14ac:dyDescent="0.25">
      <c r="B504" s="41"/>
      <c r="C504" s="387"/>
      <c r="D504" s="308"/>
      <c r="E504" s="308"/>
      <c r="F504" s="388"/>
      <c r="G504" s="388"/>
      <c r="H504" s="403"/>
      <c r="I504" s="231"/>
      <c r="J504" s="232"/>
      <c r="K504" s="404"/>
      <c r="L504" s="393"/>
      <c r="M504" s="445"/>
      <c r="N504" s="214"/>
      <c r="O504" s="207"/>
    </row>
    <row r="505" spans="2:15" s="204" customFormat="1" ht="13.2" outlineLevel="1" x14ac:dyDescent="0.25">
      <c r="B505" s="41"/>
      <c r="C505" s="387"/>
      <c r="D505" s="308"/>
      <c r="E505" s="308"/>
      <c r="F505" s="388"/>
      <c r="G505" s="388"/>
      <c r="H505" s="403"/>
      <c r="I505" s="231"/>
      <c r="J505" s="232"/>
      <c r="K505" s="404"/>
      <c r="L505" s="393"/>
      <c r="M505" s="445"/>
      <c r="N505" s="214"/>
      <c r="O505" s="207"/>
    </row>
    <row r="506" spans="2:15" s="204" customFormat="1" ht="13.2" outlineLevel="1" x14ac:dyDescent="0.25">
      <c r="B506" s="41"/>
      <c r="C506" s="387"/>
      <c r="D506" s="308"/>
      <c r="E506" s="308"/>
      <c r="F506" s="388"/>
      <c r="G506" s="388"/>
      <c r="H506" s="403"/>
      <c r="I506" s="231"/>
      <c r="J506" s="232"/>
      <c r="K506" s="404"/>
      <c r="L506" s="393"/>
      <c r="M506" s="445"/>
      <c r="N506" s="214"/>
      <c r="O506" s="207"/>
    </row>
    <row r="507" spans="2:15" s="204" customFormat="1" ht="13.2" outlineLevel="1" x14ac:dyDescent="0.25">
      <c r="B507" s="41"/>
      <c r="C507" s="387"/>
      <c r="D507" s="308"/>
      <c r="E507" s="308"/>
      <c r="F507" s="388"/>
      <c r="G507" s="388"/>
      <c r="H507" s="403"/>
      <c r="I507" s="231"/>
      <c r="J507" s="232"/>
      <c r="K507" s="404"/>
      <c r="L507" s="393"/>
      <c r="M507" s="445"/>
      <c r="N507" s="214"/>
      <c r="O507" s="207"/>
    </row>
    <row r="508" spans="2:15" s="204" customFormat="1" ht="13.2" outlineLevel="1" x14ac:dyDescent="0.25">
      <c r="B508" s="41"/>
      <c r="C508" s="387"/>
      <c r="D508" s="308"/>
      <c r="E508" s="308"/>
      <c r="F508" s="388"/>
      <c r="G508" s="388"/>
      <c r="H508" s="403"/>
      <c r="I508" s="231"/>
      <c r="J508" s="232"/>
      <c r="K508" s="404"/>
      <c r="L508" s="393"/>
      <c r="M508" s="445"/>
      <c r="N508" s="214"/>
      <c r="O508" s="207"/>
    </row>
    <row r="509" spans="2:15" s="204" customFormat="1" ht="13.2" outlineLevel="1" x14ac:dyDescent="0.25">
      <c r="B509" s="41"/>
      <c r="C509" s="387"/>
      <c r="D509" s="308"/>
      <c r="E509" s="308"/>
      <c r="F509" s="388"/>
      <c r="G509" s="388"/>
      <c r="H509" s="403"/>
      <c r="I509" s="231"/>
      <c r="J509" s="232"/>
      <c r="K509" s="404"/>
      <c r="L509" s="393"/>
      <c r="M509" s="445"/>
      <c r="N509" s="214"/>
      <c r="O509" s="207"/>
    </row>
    <row r="510" spans="2:15" s="204" customFormat="1" ht="13.2" outlineLevel="1" x14ac:dyDescent="0.25">
      <c r="B510" s="41"/>
      <c r="C510" s="387"/>
      <c r="D510" s="308"/>
      <c r="E510" s="308"/>
      <c r="F510" s="388"/>
      <c r="G510" s="388"/>
      <c r="H510" s="403"/>
      <c r="I510" s="231"/>
      <c r="J510" s="232"/>
      <c r="K510" s="404"/>
      <c r="L510" s="393"/>
      <c r="M510" s="445"/>
      <c r="N510" s="214"/>
      <c r="O510" s="207"/>
    </row>
    <row r="511" spans="2:15" s="204" customFormat="1" ht="13.2" outlineLevel="1" x14ac:dyDescent="0.25">
      <c r="B511" s="41"/>
      <c r="C511" s="387"/>
      <c r="D511" s="308"/>
      <c r="E511" s="308"/>
      <c r="F511" s="388"/>
      <c r="G511" s="388"/>
      <c r="H511" s="403"/>
      <c r="I511" s="231"/>
      <c r="J511" s="232"/>
      <c r="K511" s="404"/>
      <c r="L511" s="393"/>
      <c r="M511" s="445"/>
      <c r="N511" s="214"/>
      <c r="O511" s="207"/>
    </row>
    <row r="512" spans="2:15" s="204" customFormat="1" ht="13.2" outlineLevel="1" x14ac:dyDescent="0.25">
      <c r="B512" s="41"/>
      <c r="C512" s="387"/>
      <c r="D512" s="308"/>
      <c r="E512" s="308"/>
      <c r="F512" s="388"/>
      <c r="G512" s="388"/>
      <c r="H512" s="403"/>
      <c r="I512" s="231"/>
      <c r="J512" s="232"/>
      <c r="K512" s="404"/>
      <c r="L512" s="393"/>
      <c r="M512" s="445"/>
      <c r="N512" s="214"/>
      <c r="O512" s="207"/>
    </row>
    <row r="513" spans="2:15" s="204" customFormat="1" ht="13.2" outlineLevel="1" x14ac:dyDescent="0.25">
      <c r="B513" s="41"/>
      <c r="C513" s="387"/>
      <c r="D513" s="308"/>
      <c r="E513" s="308"/>
      <c r="F513" s="388"/>
      <c r="G513" s="388"/>
      <c r="H513" s="403"/>
      <c r="I513" s="231"/>
      <c r="J513" s="232"/>
      <c r="K513" s="404"/>
      <c r="L513" s="393"/>
      <c r="M513" s="445"/>
      <c r="N513" s="214"/>
      <c r="O513" s="207"/>
    </row>
    <row r="514" spans="2:15" s="204" customFormat="1" ht="13.2" outlineLevel="1" x14ac:dyDescent="0.25">
      <c r="B514" s="41"/>
      <c r="C514" s="389"/>
      <c r="D514" s="390"/>
      <c r="E514" s="390"/>
      <c r="F514" s="391"/>
      <c r="G514" s="391"/>
      <c r="H514" s="405"/>
      <c r="I514" s="231"/>
      <c r="J514" s="406"/>
      <c r="K514" s="408"/>
      <c r="L514" s="395"/>
      <c r="M514" s="446"/>
      <c r="N514" s="214"/>
      <c r="O514" s="207"/>
    </row>
    <row r="515" spans="2:15" s="204" customFormat="1" ht="75" customHeight="1" x14ac:dyDescent="0.25">
      <c r="B515" s="235" t="s">
        <v>408</v>
      </c>
      <c r="C515" s="465"/>
      <c r="D515" s="506"/>
      <c r="E515" s="507"/>
      <c r="F515" s="116"/>
      <c r="G515" s="116"/>
      <c r="H515" s="233"/>
      <c r="I515" s="233"/>
      <c r="J515" s="234"/>
      <c r="K515" s="504"/>
      <c r="L515" s="505"/>
      <c r="M515" s="443"/>
      <c r="N515" s="214"/>
    </row>
    <row r="516" spans="2:15" s="204" customFormat="1" ht="13.2" outlineLevel="1" x14ac:dyDescent="0.25">
      <c r="B516" s="41"/>
      <c r="C516" s="384"/>
      <c r="D516" s="385"/>
      <c r="E516" s="385"/>
      <c r="F516" s="386"/>
      <c r="G516" s="386"/>
      <c r="H516" s="407" t="s">
        <v>744</v>
      </c>
      <c r="I516" s="231"/>
      <c r="J516" s="232"/>
      <c r="K516" s="404"/>
      <c r="L516" s="392"/>
      <c r="M516" s="444"/>
      <c r="N516" s="214"/>
      <c r="O516" s="207"/>
    </row>
    <row r="517" spans="2:15" s="204" customFormat="1" ht="13.2" outlineLevel="1" x14ac:dyDescent="0.25">
      <c r="B517" s="41"/>
      <c r="C517" s="387"/>
      <c r="D517" s="308"/>
      <c r="E517" s="308"/>
      <c r="F517" s="388"/>
      <c r="G517" s="388"/>
      <c r="H517" s="403"/>
      <c r="I517" s="231"/>
      <c r="J517" s="232"/>
      <c r="K517" s="404"/>
      <c r="L517" s="393"/>
      <c r="M517" s="445"/>
      <c r="N517" s="214"/>
      <c r="O517" s="207"/>
    </row>
    <row r="518" spans="2:15" s="204" customFormat="1" ht="13.2" outlineLevel="1" x14ac:dyDescent="0.25">
      <c r="B518" s="41"/>
      <c r="C518" s="387"/>
      <c r="D518" s="308"/>
      <c r="E518" s="308"/>
      <c r="F518" s="388"/>
      <c r="G518" s="388"/>
      <c r="H518" s="403"/>
      <c r="I518" s="231"/>
      <c r="J518" s="232"/>
      <c r="K518" s="404"/>
      <c r="L518" s="393"/>
      <c r="M518" s="445"/>
      <c r="N518" s="214"/>
      <c r="O518" s="207"/>
    </row>
    <row r="519" spans="2:15" s="204" customFormat="1" ht="13.2" outlineLevel="1" x14ac:dyDescent="0.25">
      <c r="B519" s="41"/>
      <c r="C519" s="387"/>
      <c r="D519" s="308"/>
      <c r="E519" s="308"/>
      <c r="F519" s="388"/>
      <c r="G519" s="388"/>
      <c r="H519" s="403"/>
      <c r="I519" s="231"/>
      <c r="J519" s="232"/>
      <c r="K519" s="404"/>
      <c r="L519" s="393"/>
      <c r="M519" s="445"/>
      <c r="N519" s="214"/>
      <c r="O519" s="207"/>
    </row>
    <row r="520" spans="2:15" s="204" customFormat="1" ht="13.2" outlineLevel="1" x14ac:dyDescent="0.25">
      <c r="B520" s="41"/>
      <c r="C520" s="387"/>
      <c r="D520" s="308"/>
      <c r="E520" s="308"/>
      <c r="F520" s="388"/>
      <c r="G520" s="388"/>
      <c r="H520" s="403"/>
      <c r="I520" s="231"/>
      <c r="J520" s="232"/>
      <c r="K520" s="404"/>
      <c r="L520" s="393"/>
      <c r="M520" s="445"/>
      <c r="N520" s="214"/>
      <c r="O520" s="207"/>
    </row>
    <row r="521" spans="2:15" s="204" customFormat="1" ht="13.2" outlineLevel="1" x14ac:dyDescent="0.25">
      <c r="B521" s="41"/>
      <c r="C521" s="387"/>
      <c r="D521" s="308"/>
      <c r="E521" s="308"/>
      <c r="F521" s="388"/>
      <c r="G521" s="388"/>
      <c r="H521" s="403"/>
      <c r="I521" s="231"/>
      <c r="J521" s="232"/>
      <c r="K521" s="404"/>
      <c r="L521" s="393"/>
      <c r="M521" s="445"/>
      <c r="N521" s="214"/>
      <c r="O521" s="207"/>
    </row>
    <row r="522" spans="2:15" s="204" customFormat="1" ht="13.2" outlineLevel="1" x14ac:dyDescent="0.25">
      <c r="B522" s="41"/>
      <c r="C522" s="387"/>
      <c r="D522" s="308"/>
      <c r="E522" s="308"/>
      <c r="F522" s="388"/>
      <c r="G522" s="388"/>
      <c r="H522" s="403"/>
      <c r="I522" s="231"/>
      <c r="J522" s="232"/>
      <c r="K522" s="404"/>
      <c r="L522" s="393"/>
      <c r="M522" s="445"/>
      <c r="N522" s="214"/>
      <c r="O522" s="207"/>
    </row>
    <row r="523" spans="2:15" s="204" customFormat="1" ht="13.2" outlineLevel="1" x14ac:dyDescent="0.25">
      <c r="B523" s="41"/>
      <c r="C523" s="387"/>
      <c r="D523" s="308"/>
      <c r="E523" s="308"/>
      <c r="F523" s="388"/>
      <c r="G523" s="388"/>
      <c r="H523" s="403"/>
      <c r="I523" s="231"/>
      <c r="J523" s="232"/>
      <c r="K523" s="404"/>
      <c r="L523" s="393"/>
      <c r="M523" s="445"/>
      <c r="N523" s="214"/>
      <c r="O523" s="207"/>
    </row>
    <row r="524" spans="2:15" s="204" customFormat="1" ht="13.2" outlineLevel="1" x14ac:dyDescent="0.25">
      <c r="B524" s="41"/>
      <c r="C524" s="387"/>
      <c r="D524" s="308"/>
      <c r="E524" s="308"/>
      <c r="F524" s="388"/>
      <c r="G524" s="388"/>
      <c r="H524" s="403"/>
      <c r="I524" s="231"/>
      <c r="J524" s="232"/>
      <c r="K524" s="404"/>
      <c r="L524" s="393"/>
      <c r="M524" s="445"/>
      <c r="N524" s="214"/>
      <c r="O524" s="207"/>
    </row>
    <row r="525" spans="2:15" s="204" customFormat="1" ht="13.2" outlineLevel="1" x14ac:dyDescent="0.25">
      <c r="B525" s="41"/>
      <c r="C525" s="387"/>
      <c r="D525" s="308"/>
      <c r="E525" s="308"/>
      <c r="F525" s="388"/>
      <c r="G525" s="388"/>
      <c r="H525" s="403"/>
      <c r="I525" s="231"/>
      <c r="J525" s="232"/>
      <c r="K525" s="404"/>
      <c r="L525" s="393"/>
      <c r="M525" s="445"/>
      <c r="N525" s="214"/>
      <c r="O525" s="207"/>
    </row>
    <row r="526" spans="2:15" s="204" customFormat="1" ht="13.2" outlineLevel="1" x14ac:dyDescent="0.25">
      <c r="B526" s="41"/>
      <c r="C526" s="387"/>
      <c r="D526" s="308"/>
      <c r="E526" s="308"/>
      <c r="F526" s="388"/>
      <c r="G526" s="388"/>
      <c r="H526" s="403"/>
      <c r="I526" s="231"/>
      <c r="J526" s="232"/>
      <c r="K526" s="404"/>
      <c r="L526" s="393"/>
      <c r="M526" s="445"/>
      <c r="N526" s="214"/>
      <c r="O526" s="207"/>
    </row>
    <row r="527" spans="2:15" s="204" customFormat="1" ht="13.2" outlineLevel="1" x14ac:dyDescent="0.25">
      <c r="B527" s="41"/>
      <c r="C527" s="389"/>
      <c r="D527" s="390"/>
      <c r="E527" s="390"/>
      <c r="F527" s="391"/>
      <c r="G527" s="391"/>
      <c r="H527" s="405"/>
      <c r="I527" s="231"/>
      <c r="J527" s="406"/>
      <c r="K527" s="408"/>
      <c r="L527" s="395"/>
      <c r="M527" s="446"/>
      <c r="N527" s="214"/>
      <c r="O527" s="207"/>
    </row>
    <row r="528" spans="2:15" s="204" customFormat="1" ht="75" customHeight="1" x14ac:dyDescent="0.25">
      <c r="B528" s="235" t="s">
        <v>409</v>
      </c>
      <c r="C528" s="465"/>
      <c r="D528" s="506"/>
      <c r="E528" s="507"/>
      <c r="F528" s="116"/>
      <c r="G528" s="116"/>
      <c r="H528" s="233"/>
      <c r="I528" s="233"/>
      <c r="J528" s="234"/>
      <c r="K528" s="504"/>
      <c r="L528" s="505"/>
      <c r="M528" s="443"/>
      <c r="N528" s="214"/>
    </row>
    <row r="529" spans="2:15" s="204" customFormat="1" ht="13.2" outlineLevel="1" x14ac:dyDescent="0.25">
      <c r="B529" s="41"/>
      <c r="C529" s="384"/>
      <c r="D529" s="385"/>
      <c r="E529" s="385"/>
      <c r="F529" s="386"/>
      <c r="G529" s="386"/>
      <c r="H529" s="407" t="s">
        <v>744</v>
      </c>
      <c r="I529" s="231"/>
      <c r="J529" s="232"/>
      <c r="K529" s="404"/>
      <c r="L529" s="392"/>
      <c r="M529" s="444"/>
      <c r="N529" s="214"/>
      <c r="O529" s="207"/>
    </row>
    <row r="530" spans="2:15" s="204" customFormat="1" ht="13.2" outlineLevel="1" x14ac:dyDescent="0.25">
      <c r="B530" s="41"/>
      <c r="C530" s="387"/>
      <c r="D530" s="308"/>
      <c r="E530" s="308"/>
      <c r="F530" s="388"/>
      <c r="G530" s="388"/>
      <c r="H530" s="403"/>
      <c r="I530" s="231"/>
      <c r="J530" s="232"/>
      <c r="K530" s="404"/>
      <c r="L530" s="393"/>
      <c r="M530" s="445"/>
      <c r="N530" s="214"/>
      <c r="O530" s="207"/>
    </row>
    <row r="531" spans="2:15" s="204" customFormat="1" ht="13.2" outlineLevel="1" x14ac:dyDescent="0.25">
      <c r="B531" s="41"/>
      <c r="C531" s="387"/>
      <c r="D531" s="308"/>
      <c r="E531" s="308"/>
      <c r="F531" s="388"/>
      <c r="G531" s="388"/>
      <c r="H531" s="403"/>
      <c r="I531" s="231"/>
      <c r="J531" s="232"/>
      <c r="K531" s="404"/>
      <c r="L531" s="393"/>
      <c r="M531" s="445"/>
      <c r="N531" s="214"/>
      <c r="O531" s="207"/>
    </row>
    <row r="532" spans="2:15" s="204" customFormat="1" ht="13.2" outlineLevel="1" x14ac:dyDescent="0.25">
      <c r="B532" s="41"/>
      <c r="C532" s="387"/>
      <c r="D532" s="308"/>
      <c r="E532" s="308"/>
      <c r="F532" s="388"/>
      <c r="G532" s="388"/>
      <c r="H532" s="403"/>
      <c r="I532" s="231"/>
      <c r="J532" s="232"/>
      <c r="K532" s="404"/>
      <c r="L532" s="393"/>
      <c r="M532" s="445"/>
      <c r="N532" s="214"/>
      <c r="O532" s="207"/>
    </row>
    <row r="533" spans="2:15" s="204" customFormat="1" ht="13.2" outlineLevel="1" x14ac:dyDescent="0.25">
      <c r="B533" s="41"/>
      <c r="C533" s="387"/>
      <c r="D533" s="308"/>
      <c r="E533" s="308"/>
      <c r="F533" s="388"/>
      <c r="G533" s="388"/>
      <c r="H533" s="403"/>
      <c r="I533" s="231"/>
      <c r="J533" s="232"/>
      <c r="K533" s="404"/>
      <c r="L533" s="393"/>
      <c r="M533" s="445"/>
      <c r="N533" s="214"/>
      <c r="O533" s="207"/>
    </row>
    <row r="534" spans="2:15" s="204" customFormat="1" ht="13.2" outlineLevel="1" x14ac:dyDescent="0.25">
      <c r="B534" s="41"/>
      <c r="C534" s="387"/>
      <c r="D534" s="308"/>
      <c r="E534" s="308"/>
      <c r="F534" s="388"/>
      <c r="G534" s="388"/>
      <c r="H534" s="403"/>
      <c r="I534" s="231"/>
      <c r="J534" s="232"/>
      <c r="K534" s="404"/>
      <c r="L534" s="393"/>
      <c r="M534" s="445"/>
      <c r="N534" s="214"/>
      <c r="O534" s="207"/>
    </row>
    <row r="535" spans="2:15" s="204" customFormat="1" ht="13.2" outlineLevel="1" x14ac:dyDescent="0.25">
      <c r="B535" s="41"/>
      <c r="C535" s="387"/>
      <c r="D535" s="308"/>
      <c r="E535" s="308"/>
      <c r="F535" s="388"/>
      <c r="G535" s="388"/>
      <c r="H535" s="403"/>
      <c r="I535" s="231"/>
      <c r="J535" s="232"/>
      <c r="K535" s="404"/>
      <c r="L535" s="393"/>
      <c r="M535" s="445"/>
      <c r="N535" s="214"/>
      <c r="O535" s="207"/>
    </row>
    <row r="536" spans="2:15" s="204" customFormat="1" ht="13.2" outlineLevel="1" x14ac:dyDescent="0.25">
      <c r="B536" s="41"/>
      <c r="C536" s="387"/>
      <c r="D536" s="308"/>
      <c r="E536" s="308"/>
      <c r="F536" s="388"/>
      <c r="G536" s="388"/>
      <c r="H536" s="403"/>
      <c r="I536" s="231"/>
      <c r="J536" s="232"/>
      <c r="K536" s="404"/>
      <c r="L536" s="393"/>
      <c r="M536" s="445"/>
      <c r="N536" s="214"/>
      <c r="O536" s="207"/>
    </row>
    <row r="537" spans="2:15" s="204" customFormat="1" ht="13.2" outlineLevel="1" x14ac:dyDescent="0.25">
      <c r="B537" s="41"/>
      <c r="C537" s="387"/>
      <c r="D537" s="308"/>
      <c r="E537" s="308"/>
      <c r="F537" s="388"/>
      <c r="G537" s="388"/>
      <c r="H537" s="403"/>
      <c r="I537" s="231"/>
      <c r="J537" s="232"/>
      <c r="K537" s="404"/>
      <c r="L537" s="393"/>
      <c r="M537" s="445"/>
      <c r="N537" s="214"/>
      <c r="O537" s="207"/>
    </row>
    <row r="538" spans="2:15" s="204" customFormat="1" ht="13.2" outlineLevel="1" x14ac:dyDescent="0.25">
      <c r="B538" s="41"/>
      <c r="C538" s="387"/>
      <c r="D538" s="308"/>
      <c r="E538" s="308"/>
      <c r="F538" s="388"/>
      <c r="G538" s="388"/>
      <c r="H538" s="403"/>
      <c r="I538" s="231"/>
      <c r="J538" s="232"/>
      <c r="K538" s="404"/>
      <c r="L538" s="393"/>
      <c r="M538" s="445"/>
      <c r="N538" s="214"/>
      <c r="O538" s="207"/>
    </row>
    <row r="539" spans="2:15" s="204" customFormat="1" ht="13.2" outlineLevel="1" x14ac:dyDescent="0.25">
      <c r="B539" s="41"/>
      <c r="C539" s="387"/>
      <c r="D539" s="308"/>
      <c r="E539" s="308"/>
      <c r="F539" s="388"/>
      <c r="G539" s="388"/>
      <c r="H539" s="403"/>
      <c r="I539" s="231"/>
      <c r="J539" s="232"/>
      <c r="K539" s="404"/>
      <c r="L539" s="393"/>
      <c r="M539" s="445"/>
      <c r="N539" s="214"/>
      <c r="O539" s="207"/>
    </row>
    <row r="540" spans="2:15" s="204" customFormat="1" ht="13.2" outlineLevel="1" x14ac:dyDescent="0.25">
      <c r="B540" s="41"/>
      <c r="C540" s="389"/>
      <c r="D540" s="390"/>
      <c r="E540" s="390"/>
      <c r="F540" s="391"/>
      <c r="G540" s="391"/>
      <c r="H540" s="405"/>
      <c r="I540" s="231"/>
      <c r="J540" s="406"/>
      <c r="K540" s="408"/>
      <c r="L540" s="395"/>
      <c r="M540" s="446"/>
      <c r="N540" s="214"/>
      <c r="O540" s="207"/>
    </row>
    <row r="541" spans="2:15" s="204" customFormat="1" ht="75" customHeight="1" x14ac:dyDescent="0.25">
      <c r="B541" s="235" t="s">
        <v>410</v>
      </c>
      <c r="C541" s="465"/>
      <c r="D541" s="506"/>
      <c r="E541" s="507"/>
      <c r="F541" s="116"/>
      <c r="G541" s="116"/>
      <c r="H541" s="233"/>
      <c r="I541" s="233"/>
      <c r="J541" s="234"/>
      <c r="K541" s="504"/>
      <c r="L541" s="505"/>
      <c r="M541" s="443"/>
      <c r="N541" s="214"/>
    </row>
    <row r="542" spans="2:15" s="204" customFormat="1" ht="13.2" outlineLevel="1" x14ac:dyDescent="0.25">
      <c r="B542" s="41"/>
      <c r="C542" s="384"/>
      <c r="D542" s="385"/>
      <c r="E542" s="385"/>
      <c r="F542" s="386"/>
      <c r="G542" s="386"/>
      <c r="H542" s="407" t="s">
        <v>744</v>
      </c>
      <c r="I542" s="231"/>
      <c r="J542" s="232"/>
      <c r="K542" s="404"/>
      <c r="L542" s="392"/>
      <c r="M542" s="444"/>
      <c r="N542" s="214"/>
      <c r="O542" s="207"/>
    </row>
    <row r="543" spans="2:15" s="204" customFormat="1" ht="13.2" outlineLevel="1" x14ac:dyDescent="0.25">
      <c r="B543" s="41"/>
      <c r="C543" s="387"/>
      <c r="D543" s="308"/>
      <c r="E543" s="308"/>
      <c r="F543" s="388"/>
      <c r="G543" s="388"/>
      <c r="H543" s="403"/>
      <c r="I543" s="231"/>
      <c r="J543" s="232"/>
      <c r="K543" s="404"/>
      <c r="L543" s="393"/>
      <c r="M543" s="445"/>
      <c r="N543" s="214"/>
      <c r="O543" s="207"/>
    </row>
    <row r="544" spans="2:15" s="204" customFormat="1" ht="13.2" outlineLevel="1" x14ac:dyDescent="0.25">
      <c r="B544" s="41"/>
      <c r="C544" s="387"/>
      <c r="D544" s="308"/>
      <c r="E544" s="308"/>
      <c r="F544" s="388"/>
      <c r="G544" s="388"/>
      <c r="H544" s="403"/>
      <c r="I544" s="231"/>
      <c r="J544" s="232"/>
      <c r="K544" s="404"/>
      <c r="L544" s="393"/>
      <c r="M544" s="445"/>
      <c r="N544" s="214"/>
      <c r="O544" s="207"/>
    </row>
    <row r="545" spans="2:15" s="204" customFormat="1" ht="13.2" outlineLevel="1" x14ac:dyDescent="0.25">
      <c r="B545" s="41"/>
      <c r="C545" s="387"/>
      <c r="D545" s="308"/>
      <c r="E545" s="308"/>
      <c r="F545" s="388"/>
      <c r="G545" s="388"/>
      <c r="H545" s="403"/>
      <c r="I545" s="231"/>
      <c r="J545" s="232"/>
      <c r="K545" s="404"/>
      <c r="L545" s="393"/>
      <c r="M545" s="445"/>
      <c r="N545" s="214"/>
      <c r="O545" s="207"/>
    </row>
    <row r="546" spans="2:15" s="204" customFormat="1" ht="13.2" outlineLevel="1" x14ac:dyDescent="0.25">
      <c r="B546" s="41"/>
      <c r="C546" s="387"/>
      <c r="D546" s="308"/>
      <c r="E546" s="308"/>
      <c r="F546" s="388"/>
      <c r="G546" s="388"/>
      <c r="H546" s="403"/>
      <c r="I546" s="231"/>
      <c r="J546" s="232"/>
      <c r="K546" s="404"/>
      <c r="L546" s="393"/>
      <c r="M546" s="445"/>
      <c r="N546" s="214"/>
      <c r="O546" s="207"/>
    </row>
    <row r="547" spans="2:15" s="204" customFormat="1" ht="13.2" outlineLevel="1" x14ac:dyDescent="0.25">
      <c r="B547" s="41"/>
      <c r="C547" s="387"/>
      <c r="D547" s="308"/>
      <c r="E547" s="308"/>
      <c r="F547" s="388"/>
      <c r="G547" s="388"/>
      <c r="H547" s="403"/>
      <c r="I547" s="231"/>
      <c r="J547" s="232"/>
      <c r="K547" s="404"/>
      <c r="L547" s="393"/>
      <c r="M547" s="445"/>
      <c r="N547" s="214"/>
      <c r="O547" s="207"/>
    </row>
    <row r="548" spans="2:15" s="204" customFormat="1" ht="13.2" outlineLevel="1" x14ac:dyDescent="0.25">
      <c r="B548" s="41"/>
      <c r="C548" s="387"/>
      <c r="D548" s="308"/>
      <c r="E548" s="308"/>
      <c r="F548" s="388"/>
      <c r="G548" s="388"/>
      <c r="H548" s="403"/>
      <c r="I548" s="231"/>
      <c r="J548" s="232"/>
      <c r="K548" s="404"/>
      <c r="L548" s="393"/>
      <c r="M548" s="445"/>
      <c r="N548" s="214"/>
      <c r="O548" s="207"/>
    </row>
    <row r="549" spans="2:15" s="204" customFormat="1" ht="13.2" outlineLevel="1" x14ac:dyDescent="0.25">
      <c r="B549" s="41"/>
      <c r="C549" s="387"/>
      <c r="D549" s="308"/>
      <c r="E549" s="308"/>
      <c r="F549" s="388"/>
      <c r="G549" s="388"/>
      <c r="H549" s="403"/>
      <c r="I549" s="231"/>
      <c r="J549" s="232"/>
      <c r="K549" s="404"/>
      <c r="L549" s="393"/>
      <c r="M549" s="445"/>
      <c r="N549" s="214"/>
      <c r="O549" s="207"/>
    </row>
    <row r="550" spans="2:15" s="204" customFormat="1" ht="13.2" outlineLevel="1" x14ac:dyDescent="0.25">
      <c r="B550" s="41"/>
      <c r="C550" s="387"/>
      <c r="D550" s="308"/>
      <c r="E550" s="308"/>
      <c r="F550" s="388"/>
      <c r="G550" s="388"/>
      <c r="H550" s="403"/>
      <c r="I550" s="231"/>
      <c r="J550" s="232"/>
      <c r="K550" s="404"/>
      <c r="L550" s="393"/>
      <c r="M550" s="445"/>
      <c r="N550" s="214"/>
      <c r="O550" s="207"/>
    </row>
    <row r="551" spans="2:15" s="204" customFormat="1" ht="13.2" outlineLevel="1" x14ac:dyDescent="0.25">
      <c r="B551" s="41"/>
      <c r="C551" s="387"/>
      <c r="D551" s="308"/>
      <c r="E551" s="308"/>
      <c r="F551" s="388"/>
      <c r="G551" s="388"/>
      <c r="H551" s="403"/>
      <c r="I551" s="231"/>
      <c r="J551" s="232"/>
      <c r="K551" s="404"/>
      <c r="L551" s="393"/>
      <c r="M551" s="445"/>
      <c r="N551" s="214"/>
      <c r="O551" s="207"/>
    </row>
    <row r="552" spans="2:15" s="204" customFormat="1" ht="13.2" outlineLevel="1" x14ac:dyDescent="0.25">
      <c r="B552" s="41"/>
      <c r="C552" s="387"/>
      <c r="D552" s="308"/>
      <c r="E552" s="308"/>
      <c r="F552" s="388"/>
      <c r="G552" s="388"/>
      <c r="H552" s="403"/>
      <c r="I552" s="231"/>
      <c r="J552" s="232"/>
      <c r="K552" s="404"/>
      <c r="L552" s="393"/>
      <c r="M552" s="445"/>
      <c r="N552" s="214"/>
      <c r="O552" s="207"/>
    </row>
    <row r="553" spans="2:15" s="204" customFormat="1" ht="13.2" outlineLevel="1" x14ac:dyDescent="0.25">
      <c r="B553" s="41"/>
      <c r="C553" s="389"/>
      <c r="D553" s="390"/>
      <c r="E553" s="390"/>
      <c r="F553" s="391"/>
      <c r="G553" s="391"/>
      <c r="H553" s="405"/>
      <c r="I553" s="231"/>
      <c r="J553" s="406"/>
      <c r="K553" s="408"/>
      <c r="L553" s="395"/>
      <c r="M553" s="446"/>
      <c r="N553" s="214"/>
      <c r="O553" s="207"/>
    </row>
    <row r="554" spans="2:15" s="204" customFormat="1" ht="75" customHeight="1" x14ac:dyDescent="0.25">
      <c r="B554" s="235" t="s">
        <v>411</v>
      </c>
      <c r="C554" s="465"/>
      <c r="D554" s="506"/>
      <c r="E554" s="507"/>
      <c r="F554" s="116"/>
      <c r="G554" s="116"/>
      <c r="H554" s="233"/>
      <c r="I554" s="233"/>
      <c r="J554" s="234"/>
      <c r="K554" s="504"/>
      <c r="L554" s="505"/>
      <c r="M554" s="443"/>
      <c r="N554" s="214"/>
    </row>
    <row r="555" spans="2:15" s="204" customFormat="1" ht="13.2" outlineLevel="1" x14ac:dyDescent="0.25">
      <c r="B555" s="41"/>
      <c r="C555" s="384"/>
      <c r="D555" s="385"/>
      <c r="E555" s="385"/>
      <c r="F555" s="386"/>
      <c r="G555" s="386"/>
      <c r="H555" s="407" t="s">
        <v>744</v>
      </c>
      <c r="I555" s="231"/>
      <c r="J555" s="232"/>
      <c r="K555" s="404"/>
      <c r="L555" s="392"/>
      <c r="M555" s="444"/>
      <c r="N555" s="214"/>
      <c r="O555" s="207"/>
    </row>
    <row r="556" spans="2:15" s="204" customFormat="1" ht="13.2" outlineLevel="1" x14ac:dyDescent="0.25">
      <c r="B556" s="41"/>
      <c r="C556" s="387"/>
      <c r="D556" s="308"/>
      <c r="E556" s="308"/>
      <c r="F556" s="388"/>
      <c r="G556" s="388"/>
      <c r="H556" s="403"/>
      <c r="I556" s="231"/>
      <c r="J556" s="232"/>
      <c r="K556" s="404"/>
      <c r="L556" s="393"/>
      <c r="M556" s="445"/>
      <c r="N556" s="214"/>
      <c r="O556" s="207"/>
    </row>
    <row r="557" spans="2:15" s="204" customFormat="1" ht="13.2" outlineLevel="1" x14ac:dyDescent="0.25">
      <c r="B557" s="41"/>
      <c r="C557" s="387"/>
      <c r="D557" s="308"/>
      <c r="E557" s="308"/>
      <c r="F557" s="388"/>
      <c r="G557" s="388"/>
      <c r="H557" s="403"/>
      <c r="I557" s="231"/>
      <c r="J557" s="232"/>
      <c r="K557" s="404"/>
      <c r="L557" s="393"/>
      <c r="M557" s="445"/>
      <c r="N557" s="214"/>
      <c r="O557" s="207"/>
    </row>
    <row r="558" spans="2:15" s="204" customFormat="1" ht="13.2" outlineLevel="1" x14ac:dyDescent="0.25">
      <c r="B558" s="41"/>
      <c r="C558" s="387"/>
      <c r="D558" s="308"/>
      <c r="E558" s="308"/>
      <c r="F558" s="388"/>
      <c r="G558" s="388"/>
      <c r="H558" s="403"/>
      <c r="I558" s="231"/>
      <c r="J558" s="232"/>
      <c r="K558" s="404"/>
      <c r="L558" s="393"/>
      <c r="M558" s="445"/>
      <c r="N558" s="214"/>
      <c r="O558" s="207"/>
    </row>
    <row r="559" spans="2:15" s="204" customFormat="1" ht="13.2" outlineLevel="1" x14ac:dyDescent="0.25">
      <c r="B559" s="41"/>
      <c r="C559" s="387"/>
      <c r="D559" s="308"/>
      <c r="E559" s="308"/>
      <c r="F559" s="388"/>
      <c r="G559" s="388"/>
      <c r="H559" s="403"/>
      <c r="I559" s="231"/>
      <c r="J559" s="232"/>
      <c r="K559" s="404"/>
      <c r="L559" s="393"/>
      <c r="M559" s="445"/>
      <c r="N559" s="214"/>
      <c r="O559" s="207"/>
    </row>
    <row r="560" spans="2:15" s="204" customFormat="1" ht="13.2" outlineLevel="1" x14ac:dyDescent="0.25">
      <c r="B560" s="41"/>
      <c r="C560" s="387"/>
      <c r="D560" s="308"/>
      <c r="E560" s="308"/>
      <c r="F560" s="388"/>
      <c r="G560" s="388"/>
      <c r="H560" s="403"/>
      <c r="I560" s="231"/>
      <c r="J560" s="232"/>
      <c r="K560" s="404"/>
      <c r="L560" s="393"/>
      <c r="M560" s="445"/>
      <c r="N560" s="214"/>
      <c r="O560" s="207"/>
    </row>
    <row r="561" spans="2:15" s="204" customFormat="1" ht="13.2" outlineLevel="1" x14ac:dyDescent="0.25">
      <c r="B561" s="41"/>
      <c r="C561" s="387"/>
      <c r="D561" s="308"/>
      <c r="E561" s="308"/>
      <c r="F561" s="388"/>
      <c r="G561" s="388"/>
      <c r="H561" s="403"/>
      <c r="I561" s="231"/>
      <c r="J561" s="232"/>
      <c r="K561" s="404"/>
      <c r="L561" s="393"/>
      <c r="M561" s="445"/>
      <c r="N561" s="214"/>
      <c r="O561" s="207"/>
    </row>
    <row r="562" spans="2:15" s="204" customFormat="1" ht="13.2" outlineLevel="1" x14ac:dyDescent="0.25">
      <c r="B562" s="41"/>
      <c r="C562" s="387"/>
      <c r="D562" s="308"/>
      <c r="E562" s="308"/>
      <c r="F562" s="388"/>
      <c r="G562" s="388"/>
      <c r="H562" s="403"/>
      <c r="I562" s="231"/>
      <c r="J562" s="232"/>
      <c r="K562" s="404"/>
      <c r="L562" s="393"/>
      <c r="M562" s="445"/>
      <c r="N562" s="214"/>
      <c r="O562" s="207"/>
    </row>
    <row r="563" spans="2:15" s="204" customFormat="1" ht="13.2" outlineLevel="1" x14ac:dyDescent="0.25">
      <c r="B563" s="41"/>
      <c r="C563" s="387"/>
      <c r="D563" s="308"/>
      <c r="E563" s="308"/>
      <c r="F563" s="388"/>
      <c r="G563" s="388"/>
      <c r="H563" s="403"/>
      <c r="I563" s="231"/>
      <c r="J563" s="232"/>
      <c r="K563" s="404"/>
      <c r="L563" s="393"/>
      <c r="M563" s="445"/>
      <c r="N563" s="214"/>
      <c r="O563" s="207"/>
    </row>
    <row r="564" spans="2:15" s="204" customFormat="1" ht="13.2" outlineLevel="1" x14ac:dyDescent="0.25">
      <c r="B564" s="41"/>
      <c r="C564" s="387"/>
      <c r="D564" s="308"/>
      <c r="E564" s="308"/>
      <c r="F564" s="388"/>
      <c r="G564" s="388"/>
      <c r="H564" s="403"/>
      <c r="I564" s="231"/>
      <c r="J564" s="232"/>
      <c r="K564" s="404"/>
      <c r="L564" s="393"/>
      <c r="M564" s="445"/>
      <c r="N564" s="214"/>
      <c r="O564" s="207"/>
    </row>
    <row r="565" spans="2:15" s="204" customFormat="1" ht="13.2" outlineLevel="1" x14ac:dyDescent="0.25">
      <c r="B565" s="41"/>
      <c r="C565" s="387"/>
      <c r="D565" s="308"/>
      <c r="E565" s="308"/>
      <c r="F565" s="388"/>
      <c r="G565" s="388"/>
      <c r="H565" s="403"/>
      <c r="I565" s="231"/>
      <c r="J565" s="232"/>
      <c r="K565" s="404"/>
      <c r="L565" s="393"/>
      <c r="M565" s="445"/>
      <c r="N565" s="214"/>
      <c r="O565" s="207"/>
    </row>
    <row r="566" spans="2:15" s="204" customFormat="1" ht="13.2" outlineLevel="1" x14ac:dyDescent="0.25">
      <c r="B566" s="41"/>
      <c r="C566" s="389"/>
      <c r="D566" s="390"/>
      <c r="E566" s="390"/>
      <c r="F566" s="391"/>
      <c r="G566" s="391"/>
      <c r="H566" s="405"/>
      <c r="I566" s="231"/>
      <c r="J566" s="406"/>
      <c r="K566" s="408"/>
      <c r="L566" s="395"/>
      <c r="M566" s="445"/>
      <c r="N566" s="214"/>
      <c r="O566" s="207"/>
    </row>
    <row r="567" spans="2:15" s="204" customFormat="1" ht="75" customHeight="1" x14ac:dyDescent="0.25">
      <c r="B567" s="235" t="s">
        <v>412</v>
      </c>
      <c r="C567" s="465"/>
      <c r="D567" s="506"/>
      <c r="E567" s="507"/>
      <c r="F567" s="116"/>
      <c r="G567" s="116"/>
      <c r="H567" s="233"/>
      <c r="I567" s="233"/>
      <c r="J567" s="234"/>
      <c r="K567" s="516"/>
      <c r="L567" s="519"/>
      <c r="M567" s="443"/>
      <c r="N567" s="214"/>
    </row>
    <row r="568" spans="2:15" s="204" customFormat="1" ht="13.2" outlineLevel="1" x14ac:dyDescent="0.25">
      <c r="B568" s="41"/>
      <c r="C568" s="384"/>
      <c r="D568" s="385"/>
      <c r="E568" s="385"/>
      <c r="F568" s="386"/>
      <c r="G568" s="386"/>
      <c r="H568" s="407" t="s">
        <v>744</v>
      </c>
      <c r="I568" s="231"/>
      <c r="J568" s="232"/>
      <c r="K568" s="404"/>
      <c r="L568" s="393"/>
      <c r="M568" s="444"/>
      <c r="N568" s="214"/>
      <c r="O568" s="207"/>
    </row>
    <row r="569" spans="2:15" s="204" customFormat="1" ht="13.2" outlineLevel="1" x14ac:dyDescent="0.25">
      <c r="B569" s="41"/>
      <c r="C569" s="387"/>
      <c r="D569" s="308"/>
      <c r="E569" s="308"/>
      <c r="F569" s="388"/>
      <c r="G569" s="388"/>
      <c r="H569" s="403"/>
      <c r="I569" s="231"/>
      <c r="J569" s="232"/>
      <c r="K569" s="404"/>
      <c r="L569" s="393"/>
      <c r="M569" s="445"/>
      <c r="N569" s="214"/>
      <c r="O569" s="207"/>
    </row>
    <row r="570" spans="2:15" s="204" customFormat="1" ht="13.2" outlineLevel="1" x14ac:dyDescent="0.25">
      <c r="B570" s="41"/>
      <c r="C570" s="387"/>
      <c r="D570" s="308"/>
      <c r="E570" s="308"/>
      <c r="F570" s="388"/>
      <c r="G570" s="388"/>
      <c r="H570" s="403"/>
      <c r="I570" s="231"/>
      <c r="J570" s="232"/>
      <c r="K570" s="404"/>
      <c r="L570" s="393"/>
      <c r="M570" s="445"/>
      <c r="N570" s="214"/>
      <c r="O570" s="207"/>
    </row>
    <row r="571" spans="2:15" s="204" customFormat="1" ht="13.2" outlineLevel="1" x14ac:dyDescent="0.25">
      <c r="B571" s="41"/>
      <c r="C571" s="387"/>
      <c r="D571" s="308"/>
      <c r="E571" s="308"/>
      <c r="F571" s="388"/>
      <c r="G571" s="388"/>
      <c r="H571" s="403"/>
      <c r="I571" s="231"/>
      <c r="J571" s="232"/>
      <c r="K571" s="404"/>
      <c r="L571" s="393"/>
      <c r="M571" s="445"/>
      <c r="N571" s="214"/>
      <c r="O571" s="207"/>
    </row>
    <row r="572" spans="2:15" s="204" customFormat="1" ht="13.2" outlineLevel="1" x14ac:dyDescent="0.25">
      <c r="B572" s="41"/>
      <c r="C572" s="387"/>
      <c r="D572" s="308"/>
      <c r="E572" s="308"/>
      <c r="F572" s="388"/>
      <c r="G572" s="388"/>
      <c r="H572" s="403"/>
      <c r="I572" s="231"/>
      <c r="J572" s="232"/>
      <c r="K572" s="404"/>
      <c r="L572" s="393"/>
      <c r="M572" s="445"/>
      <c r="N572" s="214"/>
      <c r="O572" s="207"/>
    </row>
    <row r="573" spans="2:15" s="204" customFormat="1" ht="13.2" outlineLevel="1" x14ac:dyDescent="0.25">
      <c r="B573" s="41"/>
      <c r="C573" s="387"/>
      <c r="D573" s="308"/>
      <c r="E573" s="308"/>
      <c r="F573" s="388"/>
      <c r="G573" s="388"/>
      <c r="H573" s="403"/>
      <c r="I573" s="231"/>
      <c r="J573" s="232"/>
      <c r="K573" s="404"/>
      <c r="L573" s="393"/>
      <c r="M573" s="445"/>
      <c r="N573" s="214"/>
      <c r="O573" s="207"/>
    </row>
    <row r="574" spans="2:15" s="204" customFormat="1" ht="13.2" outlineLevel="1" x14ac:dyDescent="0.25">
      <c r="B574" s="41"/>
      <c r="C574" s="387"/>
      <c r="D574" s="308"/>
      <c r="E574" s="308"/>
      <c r="F574" s="388"/>
      <c r="G574" s="388"/>
      <c r="H574" s="403"/>
      <c r="I574" s="231"/>
      <c r="J574" s="232"/>
      <c r="K574" s="404"/>
      <c r="L574" s="393"/>
      <c r="M574" s="445"/>
      <c r="N574" s="214"/>
      <c r="O574" s="207"/>
    </row>
    <row r="575" spans="2:15" s="204" customFormat="1" ht="13.2" outlineLevel="1" x14ac:dyDescent="0.25">
      <c r="B575" s="41"/>
      <c r="C575" s="387"/>
      <c r="D575" s="308"/>
      <c r="E575" s="308"/>
      <c r="F575" s="388"/>
      <c r="G575" s="388"/>
      <c r="H575" s="403"/>
      <c r="I575" s="231"/>
      <c r="J575" s="232"/>
      <c r="K575" s="404"/>
      <c r="L575" s="393"/>
      <c r="M575" s="445"/>
      <c r="N575" s="214"/>
      <c r="O575" s="207"/>
    </row>
    <row r="576" spans="2:15" s="204" customFormat="1" ht="13.2" outlineLevel="1" x14ac:dyDescent="0.25">
      <c r="B576" s="41"/>
      <c r="C576" s="387"/>
      <c r="D576" s="308"/>
      <c r="E576" s="308"/>
      <c r="F576" s="388"/>
      <c r="G576" s="388"/>
      <c r="H576" s="403"/>
      <c r="I576" s="231"/>
      <c r="J576" s="232"/>
      <c r="K576" s="404"/>
      <c r="L576" s="393"/>
      <c r="M576" s="445"/>
      <c r="N576" s="214"/>
      <c r="O576" s="207"/>
    </row>
    <row r="577" spans="2:15" s="204" customFormat="1" ht="13.2" outlineLevel="1" x14ac:dyDescent="0.25">
      <c r="B577" s="41"/>
      <c r="C577" s="387"/>
      <c r="D577" s="308"/>
      <c r="E577" s="308"/>
      <c r="F577" s="388"/>
      <c r="G577" s="388"/>
      <c r="H577" s="403"/>
      <c r="I577" s="231"/>
      <c r="J577" s="232"/>
      <c r="K577" s="404"/>
      <c r="L577" s="393"/>
      <c r="M577" s="445"/>
      <c r="N577" s="214"/>
      <c r="O577" s="207"/>
    </row>
    <row r="578" spans="2:15" s="204" customFormat="1" ht="13.2" outlineLevel="1" x14ac:dyDescent="0.25">
      <c r="B578" s="41"/>
      <c r="C578" s="387"/>
      <c r="D578" s="308"/>
      <c r="E578" s="308"/>
      <c r="F578" s="388"/>
      <c r="G578" s="388"/>
      <c r="H578" s="403"/>
      <c r="I578" s="231"/>
      <c r="J578" s="232"/>
      <c r="K578" s="404"/>
      <c r="L578" s="393"/>
      <c r="M578" s="445"/>
      <c r="N578" s="214"/>
      <c r="O578" s="207"/>
    </row>
    <row r="579" spans="2:15" s="204" customFormat="1" ht="13.2" outlineLevel="1" x14ac:dyDescent="0.25">
      <c r="B579" s="41"/>
      <c r="C579" s="387"/>
      <c r="D579" s="308"/>
      <c r="E579" s="308"/>
      <c r="F579" s="388"/>
      <c r="G579" s="388"/>
      <c r="H579" s="410"/>
      <c r="I579" s="231"/>
      <c r="J579" s="406"/>
      <c r="K579" s="409"/>
      <c r="L579" s="393"/>
      <c r="M579" s="445"/>
      <c r="N579" s="214"/>
      <c r="O579" s="207"/>
    </row>
    <row r="580" spans="2:15" customFormat="1" ht="7.5" customHeight="1" thickBot="1" x14ac:dyDescent="0.3">
      <c r="B580" s="215"/>
      <c r="C580" s="216"/>
      <c r="D580" s="216"/>
      <c r="E580" s="216"/>
      <c r="F580" s="216"/>
      <c r="G580" s="216"/>
      <c r="H580" s="216"/>
      <c r="I580" s="216"/>
      <c r="J580" s="216"/>
      <c r="K580" s="216"/>
      <c r="L580" s="216"/>
      <c r="M580" s="447"/>
      <c r="N580" s="217"/>
    </row>
    <row r="581" spans="2:15" customFormat="1" ht="7.5" customHeight="1" x14ac:dyDescent="0.25">
      <c r="B581" s="209"/>
      <c r="C581" s="209"/>
      <c r="D581" s="209"/>
      <c r="E581" s="209"/>
      <c r="F581" s="209"/>
      <c r="G581" s="209"/>
      <c r="H581" s="209"/>
      <c r="I581" s="209"/>
      <c r="J581" s="209"/>
      <c r="K581" s="209"/>
      <c r="L581" s="209"/>
      <c r="M581" s="448"/>
      <c r="N581" s="230"/>
    </row>
    <row r="582" spans="2:15" customFormat="1" ht="7.5" customHeight="1" thickBot="1" x14ac:dyDescent="0.3">
      <c r="B582" s="209"/>
      <c r="C582" s="209"/>
      <c r="D582" s="209"/>
      <c r="E582" s="209"/>
      <c r="F582" s="209"/>
      <c r="G582" s="209"/>
      <c r="H582" s="209"/>
      <c r="I582" s="209"/>
      <c r="J582" s="209"/>
      <c r="K582" s="209"/>
      <c r="L582" s="209"/>
      <c r="M582" s="448"/>
      <c r="N582" s="230"/>
    </row>
    <row r="583" spans="2:15" customFormat="1" ht="7.5" customHeight="1" thickBot="1" x14ac:dyDescent="0.3">
      <c r="B583" s="227"/>
      <c r="C583" s="226"/>
      <c r="D583" s="226"/>
      <c r="E583" s="226"/>
      <c r="F583" s="226"/>
      <c r="G583" s="226"/>
      <c r="H583" s="226"/>
      <c r="I583" s="226"/>
      <c r="J583" s="226"/>
      <c r="K583" s="226"/>
      <c r="L583" s="226"/>
      <c r="M583" s="449"/>
      <c r="N583" s="228"/>
    </row>
    <row r="584" spans="2:15" s="9" customFormat="1" ht="23.25" customHeight="1" thickBot="1" x14ac:dyDescent="0.3">
      <c r="B584" s="224" t="s">
        <v>292</v>
      </c>
      <c r="C584" s="220" t="s">
        <v>96</v>
      </c>
      <c r="D584" s="221"/>
      <c r="E584" s="221"/>
      <c r="F584" s="221"/>
      <c r="G584" s="221"/>
      <c r="H584" s="221"/>
      <c r="I584" s="222"/>
      <c r="J584" s="222"/>
      <c r="K584" s="222"/>
      <c r="L584" s="222"/>
      <c r="M584" s="450"/>
      <c r="N584" s="40"/>
    </row>
    <row r="585" spans="2:15" customFormat="1" ht="7.5" customHeight="1" x14ac:dyDescent="0.25">
      <c r="B585" s="229"/>
      <c r="C585" s="209"/>
      <c r="D585" s="209"/>
      <c r="E585" s="209"/>
      <c r="F585" s="209"/>
      <c r="G585" s="209"/>
      <c r="H585" s="209"/>
      <c r="I585" s="209"/>
      <c r="J585" s="209"/>
      <c r="K585" s="209"/>
      <c r="L585" s="209"/>
      <c r="M585" s="448"/>
      <c r="N585" s="230"/>
    </row>
    <row r="586" spans="2:15" s="204" customFormat="1" ht="32.25" customHeight="1" x14ac:dyDescent="0.25">
      <c r="B586" s="213"/>
      <c r="C586" s="584" t="s">
        <v>384</v>
      </c>
      <c r="D586" s="585"/>
      <c r="E586" s="509"/>
      <c r="F586" s="509"/>
      <c r="G586" s="586"/>
      <c r="H586" s="205" t="s">
        <v>279</v>
      </c>
      <c r="I586" s="205" t="s">
        <v>280</v>
      </c>
      <c r="J586" s="205" t="s">
        <v>281</v>
      </c>
      <c r="K586" s="487" t="s">
        <v>776</v>
      </c>
      <c r="L586" s="488"/>
      <c r="M586" s="443" t="s">
        <v>388</v>
      </c>
      <c r="N586" s="214"/>
    </row>
    <row r="587" spans="2:15" s="204" customFormat="1" ht="75" customHeight="1" x14ac:dyDescent="0.2">
      <c r="B587" s="235" t="s">
        <v>293</v>
      </c>
      <c r="C587" s="587" t="s">
        <v>389</v>
      </c>
      <c r="D587" s="587"/>
      <c r="E587" s="588"/>
      <c r="F587" s="588"/>
      <c r="G587" s="589"/>
      <c r="H587" s="116"/>
      <c r="I587" s="116"/>
      <c r="J587" s="234"/>
      <c r="K587" s="504"/>
      <c r="L587" s="517"/>
      <c r="M587" s="206" t="s">
        <v>390</v>
      </c>
      <c r="N587" s="350"/>
      <c r="O587" s="210"/>
    </row>
    <row r="588" spans="2:15" s="204" customFormat="1" ht="75" customHeight="1" x14ac:dyDescent="0.2">
      <c r="B588" s="235" t="s">
        <v>431</v>
      </c>
      <c r="C588" s="587" t="s">
        <v>391</v>
      </c>
      <c r="D588" s="587"/>
      <c r="E588" s="588"/>
      <c r="F588" s="588"/>
      <c r="G588" s="589"/>
      <c r="H588" s="116"/>
      <c r="I588" s="116"/>
      <c r="J588" s="234"/>
      <c r="K588" s="504"/>
      <c r="L588" s="517"/>
      <c r="M588" s="206" t="s">
        <v>392</v>
      </c>
      <c r="N588" s="350"/>
      <c r="O588" s="210"/>
    </row>
    <row r="589" spans="2:15" s="204" customFormat="1" ht="75" customHeight="1" x14ac:dyDescent="0.2">
      <c r="B589" s="235" t="s">
        <v>432</v>
      </c>
      <c r="C589" s="587" t="s">
        <v>393</v>
      </c>
      <c r="D589" s="587"/>
      <c r="E589" s="588"/>
      <c r="F589" s="588"/>
      <c r="G589" s="589"/>
      <c r="H589" s="116"/>
      <c r="I589" s="116"/>
      <c r="J589" s="234"/>
      <c r="K589" s="504"/>
      <c r="L589" s="517"/>
      <c r="M589" s="206" t="s">
        <v>394</v>
      </c>
      <c r="N589" s="350"/>
      <c r="O589" s="210"/>
    </row>
    <row r="590" spans="2:15" s="204" customFormat="1" ht="75" customHeight="1" x14ac:dyDescent="0.2">
      <c r="B590" s="235" t="s">
        <v>433</v>
      </c>
      <c r="C590" s="587" t="s">
        <v>395</v>
      </c>
      <c r="D590" s="587"/>
      <c r="E590" s="588"/>
      <c r="F590" s="588"/>
      <c r="G590" s="589"/>
      <c r="H590" s="116"/>
      <c r="I590" s="116"/>
      <c r="J590" s="234"/>
      <c r="K590" s="504"/>
      <c r="L590" s="517"/>
      <c r="M590" s="206" t="s">
        <v>396</v>
      </c>
      <c r="N590" s="350"/>
      <c r="O590" s="210"/>
    </row>
    <row r="591" spans="2:15" s="204" customFormat="1" ht="75" customHeight="1" x14ac:dyDescent="0.2">
      <c r="B591" s="235" t="s">
        <v>434</v>
      </c>
      <c r="C591" s="587" t="s">
        <v>397</v>
      </c>
      <c r="D591" s="587"/>
      <c r="E591" s="588"/>
      <c r="F591" s="588"/>
      <c r="G591" s="589"/>
      <c r="H591" s="116"/>
      <c r="I591" s="116"/>
      <c r="J591" s="234"/>
      <c r="K591" s="504"/>
      <c r="L591" s="517"/>
      <c r="M591" s="206" t="s">
        <v>398</v>
      </c>
      <c r="N591" s="350"/>
      <c r="O591" s="210"/>
    </row>
    <row r="592" spans="2:15" s="204" customFormat="1" ht="75" customHeight="1" x14ac:dyDescent="0.2">
      <c r="B592" s="235" t="s">
        <v>435</v>
      </c>
      <c r="C592" s="587" t="s">
        <v>399</v>
      </c>
      <c r="D592" s="587"/>
      <c r="E592" s="588"/>
      <c r="F592" s="588"/>
      <c r="G592" s="589"/>
      <c r="H592" s="116"/>
      <c r="I592" s="116"/>
      <c r="J592" s="234"/>
      <c r="K592" s="504"/>
      <c r="L592" s="517"/>
      <c r="M592" s="206" t="s">
        <v>400</v>
      </c>
      <c r="N592" s="350"/>
      <c r="O592" s="210"/>
    </row>
    <row r="593" spans="2:15" s="204" customFormat="1" ht="75" customHeight="1" x14ac:dyDescent="0.2">
      <c r="B593" s="235" t="s">
        <v>436</v>
      </c>
      <c r="C593" s="587" t="s">
        <v>401</v>
      </c>
      <c r="D593" s="587"/>
      <c r="E593" s="588"/>
      <c r="F593" s="588"/>
      <c r="G593" s="589"/>
      <c r="H593" s="116"/>
      <c r="I593" s="116"/>
      <c r="J593" s="234"/>
      <c r="K593" s="504"/>
      <c r="L593" s="517"/>
      <c r="M593" s="206" t="s">
        <v>402</v>
      </c>
      <c r="N593" s="350"/>
      <c r="O593" s="210"/>
    </row>
    <row r="594" spans="2:15" customFormat="1" ht="7.5" customHeight="1" thickBot="1" x14ac:dyDescent="0.3">
      <c r="B594" s="215"/>
      <c r="C594" s="216"/>
      <c r="D594" s="216"/>
      <c r="E594" s="216"/>
      <c r="F594" s="216"/>
      <c r="G594" s="216"/>
      <c r="H594" s="216"/>
      <c r="I594" s="216"/>
      <c r="J594" s="216"/>
      <c r="K594" s="216"/>
      <c r="L594" s="216"/>
      <c r="M594" s="447"/>
      <c r="N594" s="217"/>
    </row>
    <row r="595" spans="2:15" customFormat="1" ht="7.5" customHeight="1" x14ac:dyDescent="0.25">
      <c r="B595" s="209"/>
      <c r="C595" s="209"/>
      <c r="D595" s="209"/>
      <c r="E595" s="209"/>
      <c r="F595" s="209"/>
      <c r="G595" s="209"/>
      <c r="H595" s="209"/>
      <c r="I595" s="209"/>
      <c r="J595" s="209"/>
      <c r="K595" s="209"/>
      <c r="L595" s="209"/>
      <c r="M595" s="448"/>
      <c r="N595" s="230"/>
    </row>
    <row r="596" spans="2:15" customFormat="1" ht="7.5" customHeight="1" thickBot="1" x14ac:dyDescent="0.3">
      <c r="B596" s="209"/>
      <c r="C596" s="209"/>
      <c r="D596" s="209"/>
      <c r="E596" s="209"/>
      <c r="F596" s="209"/>
      <c r="G596" s="209"/>
      <c r="H596" s="209"/>
      <c r="I596" s="209"/>
      <c r="J596" s="209"/>
      <c r="K596" s="209"/>
      <c r="L596" s="209"/>
      <c r="M596" s="448"/>
      <c r="N596" s="230"/>
    </row>
    <row r="597" spans="2:15" customFormat="1" ht="7.5" customHeight="1" thickBot="1" x14ac:dyDescent="0.3">
      <c r="B597" s="227"/>
      <c r="C597" s="226"/>
      <c r="D597" s="226"/>
      <c r="E597" s="226"/>
      <c r="F597" s="226"/>
      <c r="G597" s="226"/>
      <c r="H597" s="226"/>
      <c r="I597" s="226"/>
      <c r="J597" s="226"/>
      <c r="K597" s="226"/>
      <c r="L597" s="255"/>
      <c r="M597" s="449"/>
      <c r="N597" s="228"/>
    </row>
    <row r="598" spans="2:15" s="9" customFormat="1" ht="23.25" customHeight="1" thickBot="1" x14ac:dyDescent="0.3">
      <c r="B598" s="224" t="s">
        <v>294</v>
      </c>
      <c r="C598" s="220" t="s">
        <v>437</v>
      </c>
      <c r="D598" s="221"/>
      <c r="E598" s="221"/>
      <c r="F598" s="221"/>
      <c r="G598" s="221"/>
      <c r="H598" s="221"/>
      <c r="I598" s="222"/>
      <c r="J598" s="222"/>
      <c r="K598" s="222"/>
      <c r="L598" s="222"/>
      <c r="M598" s="450"/>
      <c r="N598" s="40"/>
    </row>
    <row r="599" spans="2:15" customFormat="1" ht="7.5" customHeight="1" x14ac:dyDescent="0.25">
      <c r="B599" s="229"/>
      <c r="C599" s="209"/>
      <c r="D599" s="209"/>
      <c r="E599" s="209"/>
      <c r="F599" s="209"/>
      <c r="G599" s="209"/>
      <c r="H599" s="209"/>
      <c r="I599" s="209"/>
      <c r="J599" s="209"/>
      <c r="K599" s="209"/>
      <c r="L599" s="226"/>
      <c r="M599" s="448"/>
      <c r="N599" s="230"/>
    </row>
    <row r="600" spans="2:15" s="204" customFormat="1" ht="32.25" customHeight="1" x14ac:dyDescent="0.25">
      <c r="B600" s="213"/>
      <c r="C600" s="590" t="s">
        <v>384</v>
      </c>
      <c r="D600" s="591"/>
      <c r="E600" s="592"/>
      <c r="F600" s="205" t="s">
        <v>385</v>
      </c>
      <c r="G600" s="205" t="s">
        <v>386</v>
      </c>
      <c r="H600" s="205" t="s">
        <v>279</v>
      </c>
      <c r="I600" s="205" t="s">
        <v>280</v>
      </c>
      <c r="J600" s="205" t="s">
        <v>281</v>
      </c>
      <c r="K600" s="487" t="s">
        <v>387</v>
      </c>
      <c r="L600" s="518"/>
      <c r="M600" s="443" t="s">
        <v>388</v>
      </c>
      <c r="N600" s="214"/>
    </row>
    <row r="601" spans="2:15" s="204" customFormat="1" ht="75" customHeight="1" x14ac:dyDescent="0.25">
      <c r="B601" s="224" t="s">
        <v>295</v>
      </c>
      <c r="C601" s="465"/>
      <c r="D601" s="506"/>
      <c r="E601" s="507"/>
      <c r="F601" s="116"/>
      <c r="G601" s="116"/>
      <c r="H601" s="116"/>
      <c r="I601" s="399"/>
      <c r="J601" s="400"/>
      <c r="K601" s="516"/>
      <c r="L601" s="516"/>
      <c r="M601" s="206"/>
      <c r="N601" s="350"/>
    </row>
    <row r="602" spans="2:15" s="204" customFormat="1" ht="13.2" outlineLevel="1" x14ac:dyDescent="0.25">
      <c r="B602" s="41"/>
      <c r="C602" s="384"/>
      <c r="D602" s="385"/>
      <c r="E602" s="385"/>
      <c r="F602" s="386"/>
      <c r="G602" s="386"/>
      <c r="H602" s="407" t="s">
        <v>744</v>
      </c>
      <c r="I602" s="231"/>
      <c r="J602" s="232"/>
      <c r="K602" s="404"/>
      <c r="L602" s="393"/>
      <c r="M602" s="444"/>
      <c r="N602" s="214"/>
      <c r="O602" s="207"/>
    </row>
    <row r="603" spans="2:15" s="204" customFormat="1" ht="13.2" outlineLevel="1" x14ac:dyDescent="0.25">
      <c r="B603" s="41"/>
      <c r="C603" s="387"/>
      <c r="D603" s="308"/>
      <c r="E603" s="308"/>
      <c r="F603" s="388"/>
      <c r="G603" s="388"/>
      <c r="H603" s="403"/>
      <c r="I603" s="231"/>
      <c r="J603" s="232"/>
      <c r="K603" s="404"/>
      <c r="L603" s="393"/>
      <c r="M603" s="445"/>
      <c r="N603" s="214"/>
      <c r="O603" s="207"/>
    </row>
    <row r="604" spans="2:15" s="204" customFormat="1" ht="13.2" outlineLevel="1" x14ac:dyDescent="0.25">
      <c r="B604" s="41"/>
      <c r="C604" s="387"/>
      <c r="D604" s="308"/>
      <c r="E604" s="308"/>
      <c r="F604" s="388"/>
      <c r="G604" s="388"/>
      <c r="H604" s="403"/>
      <c r="I604" s="231"/>
      <c r="J604" s="232"/>
      <c r="K604" s="404"/>
      <c r="L604" s="393"/>
      <c r="M604" s="445"/>
      <c r="N604" s="214"/>
      <c r="O604" s="207"/>
    </row>
    <row r="605" spans="2:15" s="204" customFormat="1" ht="13.2" outlineLevel="1" x14ac:dyDescent="0.25">
      <c r="B605" s="41"/>
      <c r="C605" s="387"/>
      <c r="D605" s="308"/>
      <c r="E605" s="308"/>
      <c r="F605" s="388"/>
      <c r="G605" s="388"/>
      <c r="H605" s="403"/>
      <c r="I605" s="231"/>
      <c r="J605" s="232"/>
      <c r="K605" s="404"/>
      <c r="L605" s="393"/>
      <c r="M605" s="445"/>
      <c r="N605" s="214"/>
      <c r="O605" s="207"/>
    </row>
    <row r="606" spans="2:15" s="204" customFormat="1" ht="13.2" outlineLevel="1" x14ac:dyDescent="0.25">
      <c r="B606" s="41"/>
      <c r="C606" s="387"/>
      <c r="D606" s="308"/>
      <c r="E606" s="308"/>
      <c r="F606" s="388"/>
      <c r="G606" s="388"/>
      <c r="H606" s="403"/>
      <c r="I606" s="231"/>
      <c r="J606" s="232"/>
      <c r="K606" s="404"/>
      <c r="L606" s="393"/>
      <c r="M606" s="445"/>
      <c r="N606" s="214"/>
      <c r="O606" s="207"/>
    </row>
    <row r="607" spans="2:15" s="204" customFormat="1" ht="13.2" outlineLevel="1" x14ac:dyDescent="0.25">
      <c r="B607" s="41"/>
      <c r="C607" s="387"/>
      <c r="D607" s="308"/>
      <c r="E607" s="308"/>
      <c r="F607" s="388"/>
      <c r="G607" s="388"/>
      <c r="H607" s="403"/>
      <c r="I607" s="231"/>
      <c r="J607" s="232"/>
      <c r="K607" s="404"/>
      <c r="L607" s="393"/>
      <c r="M607" s="445"/>
      <c r="N607" s="214"/>
      <c r="O607" s="207"/>
    </row>
    <row r="608" spans="2:15" s="204" customFormat="1" ht="13.2" outlineLevel="1" x14ac:dyDescent="0.25">
      <c r="B608" s="41"/>
      <c r="C608" s="387"/>
      <c r="D608" s="308"/>
      <c r="E608" s="308"/>
      <c r="F608" s="388"/>
      <c r="G608" s="388"/>
      <c r="H608" s="403"/>
      <c r="I608" s="231"/>
      <c r="J608" s="232"/>
      <c r="K608" s="404"/>
      <c r="L608" s="393"/>
      <c r="M608" s="445"/>
      <c r="N608" s="214"/>
      <c r="O608" s="207"/>
    </row>
    <row r="609" spans="2:15" s="204" customFormat="1" ht="13.2" outlineLevel="1" x14ac:dyDescent="0.25">
      <c r="B609" s="41"/>
      <c r="C609" s="387"/>
      <c r="D609" s="308"/>
      <c r="E609" s="308"/>
      <c r="F609" s="388"/>
      <c r="G609" s="388"/>
      <c r="H609" s="403"/>
      <c r="I609" s="231"/>
      <c r="J609" s="232"/>
      <c r="K609" s="404"/>
      <c r="L609" s="393"/>
      <c r="M609" s="445"/>
      <c r="N609" s="214"/>
      <c r="O609" s="207"/>
    </row>
    <row r="610" spans="2:15" s="204" customFormat="1" ht="13.2" outlineLevel="1" x14ac:dyDescent="0.25">
      <c r="B610" s="41"/>
      <c r="C610" s="387"/>
      <c r="D610" s="308"/>
      <c r="E610" s="308"/>
      <c r="F610" s="388"/>
      <c r="G610" s="388"/>
      <c r="H610" s="403"/>
      <c r="I610" s="231"/>
      <c r="J610" s="232"/>
      <c r="K610" s="404"/>
      <c r="L610" s="393"/>
      <c r="M610" s="445"/>
      <c r="N610" s="214"/>
      <c r="O610" s="207"/>
    </row>
    <row r="611" spans="2:15" s="204" customFormat="1" ht="13.2" outlineLevel="1" x14ac:dyDescent="0.25">
      <c r="B611" s="41"/>
      <c r="C611" s="387"/>
      <c r="D611" s="308"/>
      <c r="E611" s="308"/>
      <c r="F611" s="388"/>
      <c r="G611" s="388"/>
      <c r="H611" s="403"/>
      <c r="I611" s="231"/>
      <c r="J611" s="232"/>
      <c r="K611" s="404"/>
      <c r="L611" s="393"/>
      <c r="M611" s="445"/>
      <c r="N611" s="214"/>
      <c r="O611" s="207"/>
    </row>
    <row r="612" spans="2:15" s="204" customFormat="1" ht="13.2" outlineLevel="1" x14ac:dyDescent="0.25">
      <c r="B612" s="41"/>
      <c r="C612" s="387"/>
      <c r="D612" s="308"/>
      <c r="E612" s="308"/>
      <c r="F612" s="388"/>
      <c r="G612" s="388"/>
      <c r="H612" s="403"/>
      <c r="I612" s="231"/>
      <c r="J612" s="232"/>
      <c r="K612" s="404"/>
      <c r="L612" s="393"/>
      <c r="M612" s="445"/>
      <c r="N612" s="214"/>
      <c r="O612" s="207"/>
    </row>
    <row r="613" spans="2:15" s="204" customFormat="1" ht="13.2" outlineLevel="1" x14ac:dyDescent="0.25">
      <c r="B613" s="41"/>
      <c r="C613" s="389"/>
      <c r="D613" s="390"/>
      <c r="E613" s="390"/>
      <c r="F613" s="391"/>
      <c r="G613" s="391"/>
      <c r="H613" s="403"/>
      <c r="I613" s="231"/>
      <c r="J613" s="232"/>
      <c r="K613" s="404"/>
      <c r="L613" s="393"/>
      <c r="M613" s="445"/>
      <c r="N613" s="214"/>
      <c r="O613" s="207"/>
    </row>
    <row r="614" spans="2:15" s="204" customFormat="1" ht="75" customHeight="1" x14ac:dyDescent="0.25">
      <c r="B614" s="224" t="s">
        <v>438</v>
      </c>
      <c r="C614" s="465"/>
      <c r="D614" s="506"/>
      <c r="E614" s="507"/>
      <c r="F614" s="116"/>
      <c r="G614" s="116"/>
      <c r="H614" s="116"/>
      <c r="I614" s="401"/>
      <c r="J614" s="402"/>
      <c r="K614" s="516"/>
      <c r="L614" s="516"/>
      <c r="M614" s="206"/>
      <c r="N614" s="350"/>
    </row>
    <row r="615" spans="2:15" s="204" customFormat="1" ht="13.2" outlineLevel="1" x14ac:dyDescent="0.25">
      <c r="B615" s="41"/>
      <c r="C615" s="384"/>
      <c r="D615" s="385"/>
      <c r="E615" s="385"/>
      <c r="F615" s="386"/>
      <c r="G615" s="386"/>
      <c r="H615" s="407" t="s">
        <v>744</v>
      </c>
      <c r="I615" s="231"/>
      <c r="J615" s="232"/>
      <c r="K615" s="404"/>
      <c r="L615" s="392"/>
      <c r="M615" s="444"/>
      <c r="N615" s="214"/>
      <c r="O615" s="207"/>
    </row>
    <row r="616" spans="2:15" s="204" customFormat="1" ht="13.2" outlineLevel="1" x14ac:dyDescent="0.25">
      <c r="B616" s="41"/>
      <c r="C616" s="387"/>
      <c r="D616" s="308"/>
      <c r="E616" s="308"/>
      <c r="F616" s="388"/>
      <c r="G616" s="388"/>
      <c r="H616" s="403"/>
      <c r="I616" s="231"/>
      <c r="J616" s="232"/>
      <c r="K616" s="404"/>
      <c r="L616" s="393"/>
      <c r="M616" s="445"/>
      <c r="N616" s="214"/>
      <c r="O616" s="207"/>
    </row>
    <row r="617" spans="2:15" s="204" customFormat="1" ht="13.2" outlineLevel="1" x14ac:dyDescent="0.25">
      <c r="B617" s="41"/>
      <c r="C617" s="387"/>
      <c r="D617" s="308"/>
      <c r="E617" s="308"/>
      <c r="F617" s="388"/>
      <c r="G617" s="388"/>
      <c r="H617" s="403"/>
      <c r="I617" s="231"/>
      <c r="J617" s="232"/>
      <c r="K617" s="404"/>
      <c r="L617" s="393"/>
      <c r="M617" s="445"/>
      <c r="N617" s="214"/>
      <c r="O617" s="207"/>
    </row>
    <row r="618" spans="2:15" s="204" customFormat="1" ht="13.2" outlineLevel="1" x14ac:dyDescent="0.25">
      <c r="B618" s="41"/>
      <c r="C618" s="387"/>
      <c r="D618" s="308"/>
      <c r="E618" s="308"/>
      <c r="F618" s="388"/>
      <c r="G618" s="388"/>
      <c r="H618" s="403"/>
      <c r="I618" s="231"/>
      <c r="J618" s="232"/>
      <c r="K618" s="404"/>
      <c r="L618" s="393"/>
      <c r="M618" s="445"/>
      <c r="N618" s="214"/>
      <c r="O618" s="207"/>
    </row>
    <row r="619" spans="2:15" s="204" customFormat="1" ht="13.2" outlineLevel="1" x14ac:dyDescent="0.25">
      <c r="B619" s="41"/>
      <c r="C619" s="387"/>
      <c r="D619" s="308"/>
      <c r="E619" s="308"/>
      <c r="F619" s="388"/>
      <c r="G619" s="388"/>
      <c r="H619" s="403"/>
      <c r="I619" s="231"/>
      <c r="J619" s="232"/>
      <c r="K619" s="404"/>
      <c r="L619" s="393"/>
      <c r="M619" s="445"/>
      <c r="N619" s="214"/>
      <c r="O619" s="207"/>
    </row>
    <row r="620" spans="2:15" s="204" customFormat="1" ht="13.2" outlineLevel="1" x14ac:dyDescent="0.25">
      <c r="B620" s="41"/>
      <c r="C620" s="387"/>
      <c r="D620" s="308"/>
      <c r="E620" s="308"/>
      <c r="F620" s="388"/>
      <c r="G620" s="388"/>
      <c r="H620" s="403"/>
      <c r="I620" s="231"/>
      <c r="J620" s="232"/>
      <c r="K620" s="404"/>
      <c r="L620" s="393"/>
      <c r="M620" s="445"/>
      <c r="N620" s="214"/>
      <c r="O620" s="207"/>
    </row>
    <row r="621" spans="2:15" s="204" customFormat="1" ht="13.2" outlineLevel="1" x14ac:dyDescent="0.25">
      <c r="B621" s="41"/>
      <c r="C621" s="387"/>
      <c r="D621" s="308"/>
      <c r="E621" s="308"/>
      <c r="F621" s="388"/>
      <c r="G621" s="388"/>
      <c r="H621" s="403"/>
      <c r="I621" s="231"/>
      <c r="J621" s="232"/>
      <c r="K621" s="404"/>
      <c r="L621" s="393"/>
      <c r="M621" s="445"/>
      <c r="N621" s="214"/>
      <c r="O621" s="207"/>
    </row>
    <row r="622" spans="2:15" s="204" customFormat="1" ht="13.2" outlineLevel="1" x14ac:dyDescent="0.25">
      <c r="B622" s="41"/>
      <c r="C622" s="387"/>
      <c r="D622" s="308"/>
      <c r="E622" s="308"/>
      <c r="F622" s="388"/>
      <c r="G622" s="388"/>
      <c r="H622" s="403"/>
      <c r="I622" s="231"/>
      <c r="J622" s="232"/>
      <c r="K622" s="404"/>
      <c r="L622" s="393"/>
      <c r="M622" s="445"/>
      <c r="N622" s="214"/>
      <c r="O622" s="207"/>
    </row>
    <row r="623" spans="2:15" s="204" customFormat="1" ht="13.2" outlineLevel="1" x14ac:dyDescent="0.25">
      <c r="B623" s="41"/>
      <c r="C623" s="387"/>
      <c r="D623" s="308"/>
      <c r="E623" s="308"/>
      <c r="F623" s="388"/>
      <c r="G623" s="388"/>
      <c r="H623" s="403"/>
      <c r="I623" s="231"/>
      <c r="J623" s="232"/>
      <c r="K623" s="404"/>
      <c r="L623" s="393"/>
      <c r="M623" s="445"/>
      <c r="N623" s="214"/>
      <c r="O623" s="207"/>
    </row>
    <row r="624" spans="2:15" s="204" customFormat="1" ht="13.2" outlineLevel="1" x14ac:dyDescent="0.25">
      <c r="B624" s="41"/>
      <c r="C624" s="387"/>
      <c r="D624" s="308"/>
      <c r="E624" s="308"/>
      <c r="F624" s="388"/>
      <c r="G624" s="388"/>
      <c r="H624" s="403"/>
      <c r="I624" s="231"/>
      <c r="J624" s="232"/>
      <c r="K624" s="404"/>
      <c r="L624" s="393"/>
      <c r="M624" s="445"/>
      <c r="N624" s="214"/>
      <c r="O624" s="207"/>
    </row>
    <row r="625" spans="2:15" s="204" customFormat="1" ht="13.2" outlineLevel="1" x14ac:dyDescent="0.25">
      <c r="B625" s="41"/>
      <c r="C625" s="387"/>
      <c r="D625" s="308"/>
      <c r="E625" s="308"/>
      <c r="F625" s="388"/>
      <c r="G625" s="388"/>
      <c r="H625" s="403"/>
      <c r="I625" s="231"/>
      <c r="J625" s="232"/>
      <c r="K625" s="404"/>
      <c r="L625" s="393"/>
      <c r="M625" s="445"/>
      <c r="N625" s="214"/>
      <c r="O625" s="207"/>
    </row>
    <row r="626" spans="2:15" s="204" customFormat="1" ht="13.2" outlineLevel="1" x14ac:dyDescent="0.25">
      <c r="B626" s="41"/>
      <c r="C626" s="389"/>
      <c r="D626" s="390"/>
      <c r="E626" s="390"/>
      <c r="F626" s="391"/>
      <c r="G626" s="391"/>
      <c r="H626" s="403"/>
      <c r="I626" s="231"/>
      <c r="J626" s="232"/>
      <c r="K626" s="404"/>
      <c r="L626" s="395"/>
      <c r="M626" s="445"/>
      <c r="N626" s="214"/>
      <c r="O626" s="207"/>
    </row>
    <row r="627" spans="2:15" s="204" customFormat="1" ht="75" customHeight="1" x14ac:dyDescent="0.25">
      <c r="B627" s="224" t="s">
        <v>439</v>
      </c>
      <c r="C627" s="465"/>
      <c r="D627" s="506"/>
      <c r="E627" s="507"/>
      <c r="F627" s="116"/>
      <c r="G627" s="116"/>
      <c r="H627" s="116"/>
      <c r="I627" s="116"/>
      <c r="J627" s="234"/>
      <c r="K627" s="504"/>
      <c r="L627" s="517"/>
      <c r="M627" s="206"/>
      <c r="N627" s="350"/>
    </row>
    <row r="628" spans="2:15" s="204" customFormat="1" ht="13.2" outlineLevel="1" x14ac:dyDescent="0.25">
      <c r="B628" s="41"/>
      <c r="C628" s="384"/>
      <c r="D628" s="385"/>
      <c r="E628" s="385"/>
      <c r="F628" s="386"/>
      <c r="G628" s="386"/>
      <c r="H628" s="407" t="s">
        <v>744</v>
      </c>
      <c r="I628" s="231"/>
      <c r="J628" s="232"/>
      <c r="K628" s="404"/>
      <c r="L628" s="392"/>
      <c r="M628" s="444"/>
      <c r="N628" s="214"/>
      <c r="O628" s="207"/>
    </row>
    <row r="629" spans="2:15" s="204" customFormat="1" ht="13.2" outlineLevel="1" x14ac:dyDescent="0.25">
      <c r="B629" s="41"/>
      <c r="C629" s="387"/>
      <c r="D629" s="308"/>
      <c r="E629" s="308"/>
      <c r="F629" s="388"/>
      <c r="G629" s="388"/>
      <c r="H629" s="403"/>
      <c r="I629" s="231"/>
      <c r="J629" s="232"/>
      <c r="K629" s="404"/>
      <c r="L629" s="393"/>
      <c r="M629" s="445"/>
      <c r="N629" s="214"/>
      <c r="O629" s="207"/>
    </row>
    <row r="630" spans="2:15" s="204" customFormat="1" ht="13.2" outlineLevel="1" x14ac:dyDescent="0.25">
      <c r="B630" s="41"/>
      <c r="C630" s="387"/>
      <c r="D630" s="308"/>
      <c r="E630" s="308"/>
      <c r="F630" s="388"/>
      <c r="G630" s="388"/>
      <c r="H630" s="403"/>
      <c r="I630" s="231"/>
      <c r="J630" s="232"/>
      <c r="K630" s="404"/>
      <c r="L630" s="393"/>
      <c r="M630" s="445"/>
      <c r="N630" s="214"/>
      <c r="O630" s="207"/>
    </row>
    <row r="631" spans="2:15" s="204" customFormat="1" ht="13.2" outlineLevel="1" x14ac:dyDescent="0.25">
      <c r="B631" s="41"/>
      <c r="C631" s="387"/>
      <c r="D631" s="308"/>
      <c r="E631" s="308"/>
      <c r="F631" s="388"/>
      <c r="G631" s="388"/>
      <c r="H631" s="403"/>
      <c r="I631" s="231"/>
      <c r="J631" s="232"/>
      <c r="K631" s="404"/>
      <c r="L631" s="393"/>
      <c r="M631" s="445"/>
      <c r="N631" s="214"/>
      <c r="O631" s="207"/>
    </row>
    <row r="632" spans="2:15" s="204" customFormat="1" ht="13.2" outlineLevel="1" x14ac:dyDescent="0.25">
      <c r="B632" s="41"/>
      <c r="C632" s="387"/>
      <c r="D632" s="308"/>
      <c r="E632" s="308"/>
      <c r="F632" s="388"/>
      <c r="G632" s="388"/>
      <c r="H632" s="403"/>
      <c r="I632" s="231"/>
      <c r="J632" s="232"/>
      <c r="K632" s="404"/>
      <c r="L632" s="393"/>
      <c r="M632" s="445"/>
      <c r="N632" s="214"/>
      <c r="O632" s="207"/>
    </row>
    <row r="633" spans="2:15" s="204" customFormat="1" ht="13.2" outlineLevel="1" x14ac:dyDescent="0.25">
      <c r="B633" s="41"/>
      <c r="C633" s="387"/>
      <c r="D633" s="308"/>
      <c r="E633" s="308"/>
      <c r="F633" s="388"/>
      <c r="G633" s="388"/>
      <c r="H633" s="403"/>
      <c r="I633" s="231"/>
      <c r="J633" s="232"/>
      <c r="K633" s="404"/>
      <c r="L633" s="393"/>
      <c r="M633" s="445"/>
      <c r="N633" s="214"/>
      <c r="O633" s="207"/>
    </row>
    <row r="634" spans="2:15" s="204" customFormat="1" ht="13.2" outlineLevel="1" x14ac:dyDescent="0.25">
      <c r="B634" s="41"/>
      <c r="C634" s="387"/>
      <c r="D634" s="308"/>
      <c r="E634" s="308"/>
      <c r="F634" s="388"/>
      <c r="G634" s="388"/>
      <c r="H634" s="403"/>
      <c r="I634" s="231"/>
      <c r="J634" s="232"/>
      <c r="K634" s="404"/>
      <c r="L634" s="393"/>
      <c r="M634" s="445"/>
      <c r="N634" s="214"/>
      <c r="O634" s="207"/>
    </row>
    <row r="635" spans="2:15" s="204" customFormat="1" ht="13.2" outlineLevel="1" x14ac:dyDescent="0.25">
      <c r="B635" s="41"/>
      <c r="C635" s="387"/>
      <c r="D635" s="308"/>
      <c r="E635" s="308"/>
      <c r="F635" s="388"/>
      <c r="G635" s="388"/>
      <c r="H635" s="403"/>
      <c r="I635" s="231"/>
      <c r="J635" s="232"/>
      <c r="K635" s="404"/>
      <c r="L635" s="393"/>
      <c r="M635" s="445"/>
      <c r="N635" s="214"/>
      <c r="O635" s="207"/>
    </row>
    <row r="636" spans="2:15" s="204" customFormat="1" ht="13.2" outlineLevel="1" x14ac:dyDescent="0.25">
      <c r="B636" s="41"/>
      <c r="C636" s="387"/>
      <c r="D636" s="308"/>
      <c r="E636" s="308"/>
      <c r="F636" s="388"/>
      <c r="G636" s="388"/>
      <c r="H636" s="403"/>
      <c r="I636" s="231"/>
      <c r="J636" s="232"/>
      <c r="K636" s="404"/>
      <c r="L636" s="393"/>
      <c r="M636" s="445"/>
      <c r="N636" s="214"/>
      <c r="O636" s="207"/>
    </row>
    <row r="637" spans="2:15" s="204" customFormat="1" ht="13.2" outlineLevel="1" x14ac:dyDescent="0.25">
      <c r="B637" s="41"/>
      <c r="C637" s="387"/>
      <c r="D637" s="308"/>
      <c r="E637" s="308"/>
      <c r="F637" s="388"/>
      <c r="G637" s="388"/>
      <c r="H637" s="403"/>
      <c r="I637" s="231"/>
      <c r="J637" s="232"/>
      <c r="K637" s="404"/>
      <c r="L637" s="393"/>
      <c r="M637" s="445"/>
      <c r="N637" s="214"/>
      <c r="O637" s="207"/>
    </row>
    <row r="638" spans="2:15" s="204" customFormat="1" ht="13.2" outlineLevel="1" x14ac:dyDescent="0.25">
      <c r="B638" s="41"/>
      <c r="C638" s="387"/>
      <c r="D638" s="308"/>
      <c r="E638" s="308"/>
      <c r="F638" s="388"/>
      <c r="G638" s="388"/>
      <c r="H638" s="403"/>
      <c r="I638" s="231"/>
      <c r="J638" s="232"/>
      <c r="K638" s="404"/>
      <c r="L638" s="393"/>
      <c r="M638" s="445"/>
      <c r="N638" s="214"/>
      <c r="O638" s="207"/>
    </row>
    <row r="639" spans="2:15" s="204" customFormat="1" ht="13.2" outlineLevel="1" x14ac:dyDescent="0.25">
      <c r="B639" s="41"/>
      <c r="C639" s="389"/>
      <c r="D639" s="390"/>
      <c r="E639" s="390"/>
      <c r="F639" s="391"/>
      <c r="G639" s="391"/>
      <c r="H639" s="403"/>
      <c r="I639" s="231"/>
      <c r="J639" s="232"/>
      <c r="K639" s="404"/>
      <c r="L639" s="395"/>
      <c r="M639" s="445"/>
      <c r="N639" s="214"/>
      <c r="O639" s="207"/>
    </row>
    <row r="640" spans="2:15" s="204" customFormat="1" ht="75" customHeight="1" x14ac:dyDescent="0.25">
      <c r="B640" s="224" t="s">
        <v>440</v>
      </c>
      <c r="C640" s="465"/>
      <c r="D640" s="506"/>
      <c r="E640" s="507"/>
      <c r="F640" s="116"/>
      <c r="G640" s="116"/>
      <c r="H640" s="116"/>
      <c r="I640" s="116"/>
      <c r="J640" s="234"/>
      <c r="K640" s="504"/>
      <c r="L640" s="517"/>
      <c r="M640" s="206"/>
      <c r="N640" s="350"/>
    </row>
    <row r="641" spans="2:15" s="204" customFormat="1" ht="13.2" outlineLevel="1" x14ac:dyDescent="0.25">
      <c r="B641" s="41"/>
      <c r="C641" s="384"/>
      <c r="D641" s="385"/>
      <c r="E641" s="385"/>
      <c r="F641" s="386"/>
      <c r="G641" s="386"/>
      <c r="H641" s="407" t="s">
        <v>744</v>
      </c>
      <c r="I641" s="231"/>
      <c r="J641" s="232"/>
      <c r="K641" s="404"/>
      <c r="L641" s="392"/>
      <c r="M641" s="444"/>
      <c r="N641" s="214"/>
      <c r="O641" s="207"/>
    </row>
    <row r="642" spans="2:15" s="204" customFormat="1" ht="13.2" outlineLevel="1" x14ac:dyDescent="0.25">
      <c r="B642" s="41"/>
      <c r="C642" s="387"/>
      <c r="D642" s="308"/>
      <c r="E642" s="308"/>
      <c r="F642" s="388"/>
      <c r="G642" s="388"/>
      <c r="H642" s="403"/>
      <c r="I642" s="231"/>
      <c r="J642" s="232"/>
      <c r="K642" s="404"/>
      <c r="L642" s="393"/>
      <c r="M642" s="445"/>
      <c r="N642" s="214"/>
      <c r="O642" s="207"/>
    </row>
    <row r="643" spans="2:15" s="204" customFormat="1" ht="13.2" outlineLevel="1" x14ac:dyDescent="0.25">
      <c r="B643" s="41"/>
      <c r="C643" s="387"/>
      <c r="D643" s="308"/>
      <c r="E643" s="308"/>
      <c r="F643" s="388"/>
      <c r="G643" s="388"/>
      <c r="H643" s="403"/>
      <c r="I643" s="231"/>
      <c r="J643" s="232"/>
      <c r="K643" s="404"/>
      <c r="L643" s="393"/>
      <c r="M643" s="445"/>
      <c r="N643" s="214"/>
      <c r="O643" s="207"/>
    </row>
    <row r="644" spans="2:15" s="204" customFormat="1" ht="13.2" outlineLevel="1" x14ac:dyDescent="0.25">
      <c r="B644" s="41"/>
      <c r="C644" s="387"/>
      <c r="D644" s="308"/>
      <c r="E644" s="308"/>
      <c r="F644" s="388"/>
      <c r="G644" s="388"/>
      <c r="H644" s="403"/>
      <c r="I644" s="231"/>
      <c r="J644" s="232"/>
      <c r="K644" s="404"/>
      <c r="L644" s="393"/>
      <c r="M644" s="445"/>
      <c r="N644" s="214"/>
      <c r="O644" s="207"/>
    </row>
    <row r="645" spans="2:15" s="204" customFormat="1" ht="13.2" outlineLevel="1" x14ac:dyDescent="0.25">
      <c r="B645" s="41"/>
      <c r="C645" s="387"/>
      <c r="D645" s="308"/>
      <c r="E645" s="308"/>
      <c r="F645" s="388"/>
      <c r="G645" s="388"/>
      <c r="H645" s="403"/>
      <c r="I645" s="231"/>
      <c r="J645" s="232"/>
      <c r="K645" s="404"/>
      <c r="L645" s="393"/>
      <c r="M645" s="445"/>
      <c r="N645" s="214"/>
      <c r="O645" s="207"/>
    </row>
    <row r="646" spans="2:15" s="204" customFormat="1" ht="13.2" outlineLevel="1" x14ac:dyDescent="0.25">
      <c r="B646" s="41"/>
      <c r="C646" s="387"/>
      <c r="D646" s="308"/>
      <c r="E646" s="308"/>
      <c r="F646" s="388"/>
      <c r="G646" s="388"/>
      <c r="H646" s="403"/>
      <c r="I646" s="231"/>
      <c r="J646" s="232"/>
      <c r="K646" s="404"/>
      <c r="L646" s="393"/>
      <c r="M646" s="445"/>
      <c r="N646" s="214"/>
      <c r="O646" s="207"/>
    </row>
    <row r="647" spans="2:15" s="204" customFormat="1" ht="13.2" outlineLevel="1" x14ac:dyDescent="0.25">
      <c r="B647" s="41"/>
      <c r="C647" s="387"/>
      <c r="D647" s="308"/>
      <c r="E647" s="308"/>
      <c r="F647" s="388"/>
      <c r="G647" s="388"/>
      <c r="H647" s="403"/>
      <c r="I647" s="231"/>
      <c r="J647" s="232"/>
      <c r="K647" s="404"/>
      <c r="L647" s="393"/>
      <c r="M647" s="445"/>
      <c r="N647" s="214"/>
      <c r="O647" s="207"/>
    </row>
    <row r="648" spans="2:15" s="204" customFormat="1" ht="13.2" outlineLevel="1" x14ac:dyDescent="0.25">
      <c r="B648" s="41"/>
      <c r="C648" s="387"/>
      <c r="D648" s="308"/>
      <c r="E648" s="308"/>
      <c r="F648" s="388"/>
      <c r="G648" s="388"/>
      <c r="H648" s="403"/>
      <c r="I648" s="231"/>
      <c r="J648" s="232"/>
      <c r="K648" s="404"/>
      <c r="L648" s="393"/>
      <c r="M648" s="445"/>
      <c r="N648" s="214"/>
      <c r="O648" s="207"/>
    </row>
    <row r="649" spans="2:15" s="204" customFormat="1" ht="13.2" outlineLevel="1" x14ac:dyDescent="0.25">
      <c r="B649" s="41"/>
      <c r="C649" s="387"/>
      <c r="D649" s="308"/>
      <c r="E649" s="308"/>
      <c r="F649" s="388"/>
      <c r="G649" s="388"/>
      <c r="H649" s="403"/>
      <c r="I649" s="231"/>
      <c r="J649" s="232"/>
      <c r="K649" s="404"/>
      <c r="L649" s="393"/>
      <c r="M649" s="445"/>
      <c r="N649" s="214"/>
      <c r="O649" s="207"/>
    </row>
    <row r="650" spans="2:15" s="204" customFormat="1" ht="13.2" outlineLevel="1" x14ac:dyDescent="0.25">
      <c r="B650" s="41"/>
      <c r="C650" s="387"/>
      <c r="D650" s="308"/>
      <c r="E650" s="308"/>
      <c r="F650" s="388"/>
      <c r="G650" s="388"/>
      <c r="H650" s="403"/>
      <c r="I650" s="231"/>
      <c r="J650" s="232"/>
      <c r="K650" s="404"/>
      <c r="L650" s="393"/>
      <c r="M650" s="445"/>
      <c r="N650" s="214"/>
      <c r="O650" s="207"/>
    </row>
    <row r="651" spans="2:15" s="204" customFormat="1" ht="13.2" outlineLevel="1" x14ac:dyDescent="0.25">
      <c r="B651" s="41"/>
      <c r="C651" s="387"/>
      <c r="D651" s="308"/>
      <c r="E651" s="308"/>
      <c r="F651" s="388"/>
      <c r="G651" s="388"/>
      <c r="H651" s="403"/>
      <c r="I651" s="231"/>
      <c r="J651" s="232"/>
      <c r="K651" s="404"/>
      <c r="L651" s="393"/>
      <c r="M651" s="445"/>
      <c r="N651" s="214"/>
      <c r="O651" s="207"/>
    </row>
    <row r="652" spans="2:15" s="204" customFormat="1" ht="13.2" outlineLevel="1" x14ac:dyDescent="0.25">
      <c r="B652" s="41"/>
      <c r="C652" s="389"/>
      <c r="D652" s="390"/>
      <c r="E652" s="390"/>
      <c r="F652" s="391"/>
      <c r="G652" s="391"/>
      <c r="H652" s="403"/>
      <c r="I652" s="231"/>
      <c r="J652" s="232"/>
      <c r="K652" s="404"/>
      <c r="L652" s="395"/>
      <c r="M652" s="445"/>
      <c r="N652" s="214"/>
      <c r="O652" s="207"/>
    </row>
    <row r="653" spans="2:15" s="204" customFormat="1" ht="75" customHeight="1" x14ac:dyDescent="0.25">
      <c r="B653" s="224" t="s">
        <v>441</v>
      </c>
      <c r="C653" s="465"/>
      <c r="D653" s="506"/>
      <c r="E653" s="507"/>
      <c r="F653" s="116"/>
      <c r="G653" s="116"/>
      <c r="H653" s="116"/>
      <c r="I653" s="116"/>
      <c r="J653" s="234"/>
      <c r="K653" s="504"/>
      <c r="L653" s="517"/>
      <c r="M653" s="206"/>
      <c r="N653" s="350"/>
    </row>
    <row r="654" spans="2:15" s="204" customFormat="1" ht="13.2" outlineLevel="1" x14ac:dyDescent="0.25">
      <c r="B654" s="41"/>
      <c r="C654" s="384"/>
      <c r="D654" s="385"/>
      <c r="E654" s="385"/>
      <c r="F654" s="386"/>
      <c r="G654" s="386"/>
      <c r="H654" s="407" t="s">
        <v>744</v>
      </c>
      <c r="I654" s="231"/>
      <c r="J654" s="232"/>
      <c r="K654" s="404"/>
      <c r="L654" s="392"/>
      <c r="M654" s="444"/>
      <c r="N654" s="214"/>
      <c r="O654" s="207"/>
    </row>
    <row r="655" spans="2:15" s="204" customFormat="1" ht="13.2" outlineLevel="1" x14ac:dyDescent="0.25">
      <c r="B655" s="41"/>
      <c r="C655" s="387"/>
      <c r="D655" s="308"/>
      <c r="E655" s="308"/>
      <c r="F655" s="388"/>
      <c r="G655" s="388"/>
      <c r="H655" s="403"/>
      <c r="I655" s="231"/>
      <c r="J655" s="232"/>
      <c r="K655" s="404"/>
      <c r="L655" s="393"/>
      <c r="M655" s="445"/>
      <c r="N655" s="214"/>
      <c r="O655" s="207"/>
    </row>
    <row r="656" spans="2:15" s="204" customFormat="1" ht="13.2" outlineLevel="1" x14ac:dyDescent="0.25">
      <c r="B656" s="41"/>
      <c r="C656" s="387"/>
      <c r="D656" s="308"/>
      <c r="E656" s="308"/>
      <c r="F656" s="388"/>
      <c r="G656" s="388"/>
      <c r="H656" s="403"/>
      <c r="I656" s="231"/>
      <c r="J656" s="232"/>
      <c r="K656" s="404"/>
      <c r="L656" s="393"/>
      <c r="M656" s="445"/>
      <c r="N656" s="214"/>
      <c r="O656" s="207"/>
    </row>
    <row r="657" spans="2:15" s="204" customFormat="1" ht="13.2" outlineLevel="1" x14ac:dyDescent="0.25">
      <c r="B657" s="41"/>
      <c r="C657" s="387"/>
      <c r="D657" s="308"/>
      <c r="E657" s="308"/>
      <c r="F657" s="388"/>
      <c r="G657" s="388"/>
      <c r="H657" s="403"/>
      <c r="I657" s="231"/>
      <c r="J657" s="232"/>
      <c r="K657" s="404"/>
      <c r="L657" s="393"/>
      <c r="M657" s="445"/>
      <c r="N657" s="214"/>
      <c r="O657" s="207"/>
    </row>
    <row r="658" spans="2:15" s="204" customFormat="1" ht="13.2" outlineLevel="1" x14ac:dyDescent="0.25">
      <c r="B658" s="41"/>
      <c r="C658" s="387"/>
      <c r="D658" s="308"/>
      <c r="E658" s="308"/>
      <c r="F658" s="388"/>
      <c r="G658" s="388"/>
      <c r="H658" s="403"/>
      <c r="I658" s="231"/>
      <c r="J658" s="232"/>
      <c r="K658" s="404"/>
      <c r="L658" s="393"/>
      <c r="M658" s="445"/>
      <c r="N658" s="214"/>
      <c r="O658" s="207"/>
    </row>
    <row r="659" spans="2:15" s="204" customFormat="1" ht="13.2" outlineLevel="1" x14ac:dyDescent="0.25">
      <c r="B659" s="41"/>
      <c r="C659" s="387"/>
      <c r="D659" s="308"/>
      <c r="E659" s="308"/>
      <c r="F659" s="388"/>
      <c r="G659" s="388"/>
      <c r="H659" s="403"/>
      <c r="I659" s="231"/>
      <c r="J659" s="232"/>
      <c r="K659" s="404"/>
      <c r="L659" s="393"/>
      <c r="M659" s="445"/>
      <c r="N659" s="214"/>
      <c r="O659" s="207"/>
    </row>
    <row r="660" spans="2:15" s="204" customFormat="1" ht="13.2" outlineLevel="1" x14ac:dyDescent="0.25">
      <c r="B660" s="41"/>
      <c r="C660" s="387"/>
      <c r="D660" s="308"/>
      <c r="E660" s="308"/>
      <c r="F660" s="388"/>
      <c r="G660" s="388"/>
      <c r="H660" s="403"/>
      <c r="I660" s="231"/>
      <c r="J660" s="232"/>
      <c r="K660" s="404"/>
      <c r="L660" s="393"/>
      <c r="M660" s="445"/>
      <c r="N660" s="214"/>
      <c r="O660" s="207"/>
    </row>
    <row r="661" spans="2:15" s="204" customFormat="1" ht="13.2" outlineLevel="1" x14ac:dyDescent="0.25">
      <c r="B661" s="41"/>
      <c r="C661" s="387"/>
      <c r="D661" s="308"/>
      <c r="E661" s="308"/>
      <c r="F661" s="388"/>
      <c r="G661" s="388"/>
      <c r="H661" s="403"/>
      <c r="I661" s="231"/>
      <c r="J661" s="232"/>
      <c r="K661" s="404"/>
      <c r="L661" s="393"/>
      <c r="M661" s="445"/>
      <c r="N661" s="214"/>
      <c r="O661" s="207"/>
    </row>
    <row r="662" spans="2:15" s="204" customFormat="1" ht="13.2" outlineLevel="1" x14ac:dyDescent="0.25">
      <c r="B662" s="41"/>
      <c r="C662" s="387"/>
      <c r="D662" s="308"/>
      <c r="E662" s="308"/>
      <c r="F662" s="388"/>
      <c r="G662" s="388"/>
      <c r="H662" s="403"/>
      <c r="I662" s="231"/>
      <c r="J662" s="232"/>
      <c r="K662" s="404"/>
      <c r="L662" s="393"/>
      <c r="M662" s="445"/>
      <c r="N662" s="214"/>
      <c r="O662" s="207"/>
    </row>
    <row r="663" spans="2:15" s="204" customFormat="1" ht="13.2" outlineLevel="1" x14ac:dyDescent="0.25">
      <c r="B663" s="41"/>
      <c r="C663" s="387"/>
      <c r="D663" s="308"/>
      <c r="E663" s="308"/>
      <c r="F663" s="388"/>
      <c r="G663" s="388"/>
      <c r="H663" s="403"/>
      <c r="I663" s="231"/>
      <c r="J663" s="232"/>
      <c r="K663" s="404"/>
      <c r="L663" s="393"/>
      <c r="M663" s="445"/>
      <c r="N663" s="214"/>
      <c r="O663" s="207"/>
    </row>
    <row r="664" spans="2:15" s="204" customFormat="1" ht="13.2" outlineLevel="1" x14ac:dyDescent="0.25">
      <c r="B664" s="41"/>
      <c r="C664" s="387"/>
      <c r="D664" s="308"/>
      <c r="E664" s="308"/>
      <c r="F664" s="388"/>
      <c r="G664" s="388"/>
      <c r="H664" s="403"/>
      <c r="I664" s="231"/>
      <c r="J664" s="232"/>
      <c r="K664" s="404"/>
      <c r="L664" s="393"/>
      <c r="M664" s="445"/>
      <c r="N664" s="214"/>
      <c r="O664" s="207"/>
    </row>
    <row r="665" spans="2:15" s="204" customFormat="1" ht="13.2" outlineLevel="1" x14ac:dyDescent="0.25">
      <c r="B665" s="41"/>
      <c r="C665" s="389"/>
      <c r="D665" s="390"/>
      <c r="E665" s="390"/>
      <c r="F665" s="391"/>
      <c r="G665" s="391"/>
      <c r="H665" s="403"/>
      <c r="I665" s="231"/>
      <c r="J665" s="232"/>
      <c r="K665" s="404"/>
      <c r="L665" s="395"/>
      <c r="M665" s="445"/>
      <c r="N665" s="214"/>
      <c r="O665" s="207"/>
    </row>
    <row r="666" spans="2:15" s="204" customFormat="1" ht="75" customHeight="1" x14ac:dyDescent="0.25">
      <c r="B666" s="224" t="s">
        <v>442</v>
      </c>
      <c r="C666" s="465"/>
      <c r="D666" s="506"/>
      <c r="E666" s="507"/>
      <c r="F666" s="116"/>
      <c r="G666" s="116"/>
      <c r="H666" s="116"/>
      <c r="I666" s="116"/>
      <c r="J666" s="234"/>
      <c r="K666" s="504"/>
      <c r="L666" s="517"/>
      <c r="M666" s="206"/>
      <c r="N666" s="350"/>
    </row>
    <row r="667" spans="2:15" s="204" customFormat="1" ht="13.2" outlineLevel="1" x14ac:dyDescent="0.25">
      <c r="B667" s="41"/>
      <c r="C667" s="384"/>
      <c r="D667" s="385"/>
      <c r="E667" s="385"/>
      <c r="F667" s="386"/>
      <c r="G667" s="386"/>
      <c r="H667" s="407" t="s">
        <v>744</v>
      </c>
      <c r="I667" s="231"/>
      <c r="J667" s="232"/>
      <c r="K667" s="404"/>
      <c r="L667" s="392"/>
      <c r="M667" s="444"/>
      <c r="N667" s="214"/>
      <c r="O667" s="207"/>
    </row>
    <row r="668" spans="2:15" s="204" customFormat="1" ht="13.2" outlineLevel="1" x14ac:dyDescent="0.25">
      <c r="B668" s="41"/>
      <c r="C668" s="387"/>
      <c r="D668" s="308"/>
      <c r="E668" s="308"/>
      <c r="F668" s="388"/>
      <c r="G668" s="388"/>
      <c r="H668" s="403"/>
      <c r="I668" s="231"/>
      <c r="J668" s="232"/>
      <c r="K668" s="404"/>
      <c r="L668" s="393"/>
      <c r="M668" s="445"/>
      <c r="N668" s="214"/>
      <c r="O668" s="207"/>
    </row>
    <row r="669" spans="2:15" s="204" customFormat="1" ht="13.2" outlineLevel="1" x14ac:dyDescent="0.25">
      <c r="B669" s="41"/>
      <c r="C669" s="387"/>
      <c r="D669" s="308"/>
      <c r="E669" s="308"/>
      <c r="F669" s="388"/>
      <c r="G669" s="388"/>
      <c r="H669" s="403"/>
      <c r="I669" s="231"/>
      <c r="J669" s="232"/>
      <c r="K669" s="404"/>
      <c r="L669" s="393"/>
      <c r="M669" s="445"/>
      <c r="N669" s="214"/>
      <c r="O669" s="207"/>
    </row>
    <row r="670" spans="2:15" s="204" customFormat="1" ht="13.2" outlineLevel="1" x14ac:dyDescent="0.25">
      <c r="B670" s="41"/>
      <c r="C670" s="387"/>
      <c r="D670" s="308"/>
      <c r="E670" s="308"/>
      <c r="F670" s="388"/>
      <c r="G670" s="388"/>
      <c r="H670" s="403"/>
      <c r="I670" s="231"/>
      <c r="J670" s="232"/>
      <c r="K670" s="404"/>
      <c r="L670" s="393"/>
      <c r="M670" s="445"/>
      <c r="N670" s="214"/>
      <c r="O670" s="207"/>
    </row>
    <row r="671" spans="2:15" s="204" customFormat="1" ht="13.2" outlineLevel="1" x14ac:dyDescent="0.25">
      <c r="B671" s="41"/>
      <c r="C671" s="387"/>
      <c r="D671" s="308"/>
      <c r="E671" s="308"/>
      <c r="F671" s="388"/>
      <c r="G671" s="388"/>
      <c r="H671" s="403"/>
      <c r="I671" s="231"/>
      <c r="J671" s="232"/>
      <c r="K671" s="404"/>
      <c r="L671" s="393"/>
      <c r="M671" s="445"/>
      <c r="N671" s="214"/>
      <c r="O671" s="207"/>
    </row>
    <row r="672" spans="2:15" s="204" customFormat="1" ht="13.2" outlineLevel="1" x14ac:dyDescent="0.25">
      <c r="B672" s="41"/>
      <c r="C672" s="387"/>
      <c r="D672" s="308"/>
      <c r="E672" s="308"/>
      <c r="F672" s="388"/>
      <c r="G672" s="388"/>
      <c r="H672" s="403"/>
      <c r="I672" s="231"/>
      <c r="J672" s="232"/>
      <c r="K672" s="404"/>
      <c r="L672" s="393"/>
      <c r="M672" s="445"/>
      <c r="N672" s="214"/>
      <c r="O672" s="207"/>
    </row>
    <row r="673" spans="2:15" s="204" customFormat="1" ht="13.2" outlineLevel="1" x14ac:dyDescent="0.25">
      <c r="B673" s="41"/>
      <c r="C673" s="387"/>
      <c r="D673" s="308"/>
      <c r="E673" s="308"/>
      <c r="F673" s="388"/>
      <c r="G673" s="388"/>
      <c r="H673" s="403"/>
      <c r="I673" s="231"/>
      <c r="J673" s="232"/>
      <c r="K673" s="404"/>
      <c r="L673" s="393"/>
      <c r="M673" s="445"/>
      <c r="N673" s="214"/>
      <c r="O673" s="207"/>
    </row>
    <row r="674" spans="2:15" s="204" customFormat="1" ht="13.2" outlineLevel="1" x14ac:dyDescent="0.25">
      <c r="B674" s="41"/>
      <c r="C674" s="387"/>
      <c r="D674" s="308"/>
      <c r="E674" s="308"/>
      <c r="F674" s="388"/>
      <c r="G674" s="388"/>
      <c r="H674" s="403"/>
      <c r="I674" s="231"/>
      <c r="J674" s="232"/>
      <c r="K674" s="404"/>
      <c r="L674" s="393"/>
      <c r="M674" s="445"/>
      <c r="N674" s="214"/>
      <c r="O674" s="207"/>
    </row>
    <row r="675" spans="2:15" s="204" customFormat="1" ht="13.2" outlineLevel="1" x14ac:dyDescent="0.25">
      <c r="B675" s="41"/>
      <c r="C675" s="387"/>
      <c r="D675" s="308"/>
      <c r="E675" s="308"/>
      <c r="F675" s="388"/>
      <c r="G675" s="388"/>
      <c r="H675" s="403"/>
      <c r="I675" s="231"/>
      <c r="J675" s="232"/>
      <c r="K675" s="404"/>
      <c r="L675" s="393"/>
      <c r="M675" s="445"/>
      <c r="N675" s="214"/>
      <c r="O675" s="207"/>
    </row>
    <row r="676" spans="2:15" s="204" customFormat="1" ht="13.2" outlineLevel="1" x14ac:dyDescent="0.25">
      <c r="B676" s="41"/>
      <c r="C676" s="387"/>
      <c r="D676" s="308"/>
      <c r="E676" s="308"/>
      <c r="F676" s="388"/>
      <c r="G676" s="388"/>
      <c r="H676" s="403"/>
      <c r="I676" s="231"/>
      <c r="J676" s="232"/>
      <c r="K676" s="404"/>
      <c r="L676" s="393"/>
      <c r="M676" s="445"/>
      <c r="N676" s="214"/>
      <c r="O676" s="207"/>
    </row>
    <row r="677" spans="2:15" s="204" customFormat="1" ht="13.2" outlineLevel="1" x14ac:dyDescent="0.25">
      <c r="B677" s="41"/>
      <c r="C677" s="387"/>
      <c r="D677" s="308"/>
      <c r="E677" s="308"/>
      <c r="F677" s="388"/>
      <c r="G677" s="388"/>
      <c r="H677" s="403"/>
      <c r="I677" s="231"/>
      <c r="J677" s="232"/>
      <c r="K677" s="404"/>
      <c r="L677" s="393"/>
      <c r="M677" s="445"/>
      <c r="N677" s="214"/>
      <c r="O677" s="207"/>
    </row>
    <row r="678" spans="2:15" s="204" customFormat="1" ht="13.2" outlineLevel="1" x14ac:dyDescent="0.25">
      <c r="B678" s="41"/>
      <c r="C678" s="389"/>
      <c r="D678" s="390"/>
      <c r="E678" s="390"/>
      <c r="F678" s="391"/>
      <c r="G678" s="391"/>
      <c r="H678" s="403"/>
      <c r="I678" s="231"/>
      <c r="J678" s="232"/>
      <c r="K678" s="404"/>
      <c r="L678" s="395"/>
      <c r="M678" s="445"/>
      <c r="N678" s="214"/>
      <c r="O678" s="207"/>
    </row>
    <row r="679" spans="2:15" s="204" customFormat="1" ht="75" customHeight="1" x14ac:dyDescent="0.25">
      <c r="B679" s="224" t="s">
        <v>443</v>
      </c>
      <c r="C679" s="465"/>
      <c r="D679" s="506"/>
      <c r="E679" s="507"/>
      <c r="F679" s="116"/>
      <c r="G679" s="116"/>
      <c r="H679" s="116"/>
      <c r="I679" s="116"/>
      <c r="J679" s="234"/>
      <c r="K679" s="504"/>
      <c r="L679" s="517"/>
      <c r="M679" s="206"/>
      <c r="N679" s="350"/>
    </row>
    <row r="680" spans="2:15" s="204" customFormat="1" ht="13.2" outlineLevel="1" x14ac:dyDescent="0.25">
      <c r="B680" s="41"/>
      <c r="C680" s="384"/>
      <c r="D680" s="385"/>
      <c r="E680" s="385"/>
      <c r="F680" s="386"/>
      <c r="G680" s="386"/>
      <c r="H680" s="407" t="s">
        <v>744</v>
      </c>
      <c r="I680" s="231"/>
      <c r="J680" s="232"/>
      <c r="K680" s="404"/>
      <c r="L680" s="392"/>
      <c r="M680" s="444"/>
      <c r="N680" s="214"/>
      <c r="O680" s="207"/>
    </row>
    <row r="681" spans="2:15" s="204" customFormat="1" ht="13.2" outlineLevel="1" x14ac:dyDescent="0.25">
      <c r="B681" s="41"/>
      <c r="C681" s="387"/>
      <c r="D681" s="308"/>
      <c r="E681" s="308"/>
      <c r="F681" s="388"/>
      <c r="G681" s="388"/>
      <c r="H681" s="403"/>
      <c r="I681" s="231"/>
      <c r="J681" s="232"/>
      <c r="K681" s="404"/>
      <c r="L681" s="393"/>
      <c r="M681" s="445"/>
      <c r="N681" s="214"/>
      <c r="O681" s="207"/>
    </row>
    <row r="682" spans="2:15" s="204" customFormat="1" ht="13.2" outlineLevel="1" x14ac:dyDescent="0.25">
      <c r="B682" s="41"/>
      <c r="C682" s="387"/>
      <c r="D682" s="308"/>
      <c r="E682" s="308"/>
      <c r="F682" s="388"/>
      <c r="G682" s="388"/>
      <c r="H682" s="403"/>
      <c r="I682" s="231"/>
      <c r="J682" s="232"/>
      <c r="K682" s="404"/>
      <c r="L682" s="393"/>
      <c r="M682" s="445"/>
      <c r="N682" s="214"/>
      <c r="O682" s="207"/>
    </row>
    <row r="683" spans="2:15" s="204" customFormat="1" ht="13.2" outlineLevel="1" x14ac:dyDescent="0.25">
      <c r="B683" s="41"/>
      <c r="C683" s="387"/>
      <c r="D683" s="308"/>
      <c r="E683" s="308"/>
      <c r="F683" s="388"/>
      <c r="G683" s="388"/>
      <c r="H683" s="403"/>
      <c r="I683" s="231"/>
      <c r="J683" s="232"/>
      <c r="K683" s="404"/>
      <c r="L683" s="393"/>
      <c r="M683" s="445"/>
      <c r="N683" s="214"/>
      <c r="O683" s="207"/>
    </row>
    <row r="684" spans="2:15" s="204" customFormat="1" ht="13.2" outlineLevel="1" x14ac:dyDescent="0.25">
      <c r="B684" s="41"/>
      <c r="C684" s="387"/>
      <c r="D684" s="308"/>
      <c r="E684" s="308"/>
      <c r="F684" s="388"/>
      <c r="G684" s="388"/>
      <c r="H684" s="403"/>
      <c r="I684" s="231"/>
      <c r="J684" s="232"/>
      <c r="K684" s="404"/>
      <c r="L684" s="393"/>
      <c r="M684" s="445"/>
      <c r="N684" s="214"/>
      <c r="O684" s="207"/>
    </row>
    <row r="685" spans="2:15" s="204" customFormat="1" ht="13.2" outlineLevel="1" x14ac:dyDescent="0.25">
      <c r="B685" s="41"/>
      <c r="C685" s="387"/>
      <c r="D685" s="308"/>
      <c r="E685" s="308"/>
      <c r="F685" s="388"/>
      <c r="G685" s="388"/>
      <c r="H685" s="403"/>
      <c r="I685" s="231"/>
      <c r="J685" s="232"/>
      <c r="K685" s="404"/>
      <c r="L685" s="393"/>
      <c r="M685" s="445"/>
      <c r="N685" s="214"/>
      <c r="O685" s="207"/>
    </row>
    <row r="686" spans="2:15" s="204" customFormat="1" ht="13.2" outlineLevel="1" x14ac:dyDescent="0.25">
      <c r="B686" s="41"/>
      <c r="C686" s="387"/>
      <c r="D686" s="308"/>
      <c r="E686" s="308"/>
      <c r="F686" s="388"/>
      <c r="G686" s="388"/>
      <c r="H686" s="403"/>
      <c r="I686" s="231"/>
      <c r="J686" s="232"/>
      <c r="K686" s="404"/>
      <c r="L686" s="393"/>
      <c r="M686" s="445"/>
      <c r="N686" s="214"/>
      <c r="O686" s="207"/>
    </row>
    <row r="687" spans="2:15" s="204" customFormat="1" ht="13.2" outlineLevel="1" x14ac:dyDescent="0.25">
      <c r="B687" s="41"/>
      <c r="C687" s="387"/>
      <c r="D687" s="308"/>
      <c r="E687" s="308"/>
      <c r="F687" s="388"/>
      <c r="G687" s="388"/>
      <c r="H687" s="403"/>
      <c r="I687" s="231"/>
      <c r="J687" s="232"/>
      <c r="K687" s="404"/>
      <c r="L687" s="393"/>
      <c r="M687" s="445"/>
      <c r="N687" s="214"/>
      <c r="O687" s="207"/>
    </row>
    <row r="688" spans="2:15" s="204" customFormat="1" ht="13.2" outlineLevel="1" x14ac:dyDescent="0.25">
      <c r="B688" s="41"/>
      <c r="C688" s="387"/>
      <c r="D688" s="308"/>
      <c r="E688" s="308"/>
      <c r="F688" s="388"/>
      <c r="G688" s="388"/>
      <c r="H688" s="403"/>
      <c r="I688" s="231"/>
      <c r="J688" s="232"/>
      <c r="K688" s="404"/>
      <c r="L688" s="393"/>
      <c r="M688" s="445"/>
      <c r="N688" s="214"/>
      <c r="O688" s="207"/>
    </row>
    <row r="689" spans="2:15" s="204" customFormat="1" ht="13.2" outlineLevel="1" x14ac:dyDescent="0.25">
      <c r="B689" s="41"/>
      <c r="C689" s="387"/>
      <c r="D689" s="308"/>
      <c r="E689" s="308"/>
      <c r="F689" s="388"/>
      <c r="G689" s="388"/>
      <c r="H689" s="403"/>
      <c r="I689" s="231"/>
      <c r="J689" s="232"/>
      <c r="K689" s="404"/>
      <c r="L689" s="393"/>
      <c r="M689" s="445"/>
      <c r="N689" s="214"/>
      <c r="O689" s="207"/>
    </row>
    <row r="690" spans="2:15" s="204" customFormat="1" ht="13.2" outlineLevel="1" x14ac:dyDescent="0.25">
      <c r="B690" s="41"/>
      <c r="C690" s="387"/>
      <c r="D690" s="308"/>
      <c r="E690" s="308"/>
      <c r="F690" s="388"/>
      <c r="G690" s="388"/>
      <c r="H690" s="403"/>
      <c r="I690" s="231"/>
      <c r="J690" s="232"/>
      <c r="K690" s="404"/>
      <c r="L690" s="393"/>
      <c r="M690" s="445"/>
      <c r="N690" s="214"/>
      <c r="O690" s="207"/>
    </row>
    <row r="691" spans="2:15" s="204" customFormat="1" ht="13.2" outlineLevel="1" x14ac:dyDescent="0.25">
      <c r="B691" s="41"/>
      <c r="C691" s="387"/>
      <c r="D691" s="308"/>
      <c r="E691" s="308"/>
      <c r="F691" s="388"/>
      <c r="G691" s="388"/>
      <c r="H691" s="403"/>
      <c r="I691" s="231"/>
      <c r="J691" s="232"/>
      <c r="K691" s="404"/>
      <c r="L691" s="393"/>
      <c r="M691" s="445"/>
      <c r="N691" s="214"/>
      <c r="O691" s="207"/>
    </row>
    <row r="692" spans="2:15" customFormat="1" ht="7.5" customHeight="1" thickBot="1" x14ac:dyDescent="0.3">
      <c r="B692" s="215"/>
      <c r="C692" s="216"/>
      <c r="D692" s="216"/>
      <c r="E692" s="216"/>
      <c r="F692" s="216"/>
      <c r="G692" s="216"/>
      <c r="H692" s="216"/>
      <c r="I692" s="216"/>
      <c r="J692" s="216"/>
      <c r="K692" s="216"/>
      <c r="L692" s="216"/>
      <c r="M692" s="216"/>
      <c r="N692" s="217"/>
    </row>
    <row r="693" spans="2:15" customFormat="1" ht="7.5" customHeight="1" x14ac:dyDescent="0.25">
      <c r="B693" s="226"/>
      <c r="C693" s="226"/>
      <c r="D693" s="226"/>
      <c r="E693" s="226"/>
      <c r="F693" s="226"/>
      <c r="G693" s="226"/>
      <c r="H693" s="226"/>
      <c r="I693" s="226"/>
      <c r="J693" s="226"/>
      <c r="K693" s="226"/>
      <c r="L693" s="226"/>
      <c r="M693" s="226"/>
      <c r="N693" s="226"/>
    </row>
    <row r="694" spans="2:15" customFormat="1" ht="7.5" customHeight="1" thickBot="1" x14ac:dyDescent="0.3"/>
    <row r="695" spans="2:15" s="35" customFormat="1" ht="6.75" customHeight="1" thickBot="1" x14ac:dyDescent="0.3">
      <c r="B695" s="36"/>
      <c r="C695" s="256"/>
      <c r="D695" s="37"/>
      <c r="E695" s="37"/>
      <c r="F695" s="37"/>
      <c r="G695" s="37"/>
      <c r="H695" s="37"/>
      <c r="I695" s="37"/>
      <c r="J695" s="37"/>
      <c r="K695" s="37"/>
      <c r="L695" s="37"/>
      <c r="M695" s="37"/>
      <c r="N695" s="38"/>
    </row>
    <row r="696" spans="2:15" s="9" customFormat="1" ht="23.25" customHeight="1" thickBot="1" x14ac:dyDescent="0.3">
      <c r="B696" s="41" t="s">
        <v>129</v>
      </c>
      <c r="C696" s="165" t="s">
        <v>727</v>
      </c>
      <c r="D696" s="221"/>
      <c r="E696" s="221"/>
      <c r="F696" s="221"/>
      <c r="G696" s="221"/>
      <c r="H696" s="221"/>
      <c r="I696" s="222"/>
      <c r="J696" s="222"/>
      <c r="K696" s="222"/>
      <c r="L696" s="222"/>
      <c r="M696" s="223"/>
      <c r="N696" s="442"/>
    </row>
    <row r="697" spans="2:15" s="35" customFormat="1" ht="6.75" customHeight="1" x14ac:dyDescent="0.25">
      <c r="B697" s="43"/>
      <c r="C697" s="256"/>
      <c r="D697" s="37"/>
      <c r="E697" s="37"/>
      <c r="F697" s="37"/>
      <c r="G697" s="37"/>
      <c r="H697" s="37"/>
      <c r="I697" s="37"/>
      <c r="J697" s="37"/>
      <c r="K697" s="37"/>
      <c r="L697" s="37"/>
      <c r="M697" s="37"/>
      <c r="N697" s="45"/>
    </row>
    <row r="698" spans="2:15" ht="24" customHeight="1" x14ac:dyDescent="0.25">
      <c r="B698" s="103" t="s">
        <v>719</v>
      </c>
      <c r="C698" s="531" t="s">
        <v>363</v>
      </c>
      <c r="D698" s="532"/>
      <c r="E698" s="187"/>
      <c r="F698" s="188"/>
      <c r="G698" s="188"/>
      <c r="H698" s="188"/>
      <c r="I698" s="188"/>
      <c r="J698" s="188"/>
      <c r="K698" s="189"/>
      <c r="L698" s="189"/>
      <c r="M698" s="190"/>
      <c r="N698" s="48"/>
    </row>
    <row r="699" spans="2:15" x14ac:dyDescent="0.25">
      <c r="B699" s="578"/>
      <c r="C699" s="579"/>
      <c r="D699" s="579"/>
      <c r="E699" s="579"/>
      <c r="F699" s="579"/>
      <c r="G699" s="579"/>
      <c r="H699" s="579"/>
      <c r="I699" s="579"/>
      <c r="J699" s="579"/>
      <c r="K699" s="579"/>
      <c r="L699" s="134"/>
      <c r="M699" s="134"/>
      <c r="N699" s="48"/>
    </row>
    <row r="700" spans="2:15" x14ac:dyDescent="0.25">
      <c r="B700" s="578"/>
      <c r="C700" s="579"/>
      <c r="D700" s="579"/>
      <c r="E700" s="579"/>
      <c r="F700" s="579"/>
      <c r="G700" s="579"/>
      <c r="H700" s="579"/>
      <c r="I700" s="579"/>
      <c r="J700" s="579"/>
      <c r="K700" s="579"/>
      <c r="L700" s="134"/>
      <c r="M700" s="134"/>
      <c r="N700" s="48"/>
    </row>
    <row r="701" spans="2:15" x14ac:dyDescent="0.25">
      <c r="B701" s="578"/>
      <c r="C701" s="579"/>
      <c r="D701" s="579"/>
      <c r="E701" s="579"/>
      <c r="F701" s="579"/>
      <c r="G701" s="579"/>
      <c r="H701" s="579"/>
      <c r="I701" s="579"/>
      <c r="J701" s="579"/>
      <c r="K701" s="579"/>
      <c r="L701" s="134"/>
      <c r="M701" s="134"/>
      <c r="N701" s="48"/>
    </row>
    <row r="702" spans="2:15" x14ac:dyDescent="0.25">
      <c r="B702" s="578"/>
      <c r="C702" s="579"/>
      <c r="D702" s="579"/>
      <c r="E702" s="579"/>
      <c r="F702" s="579"/>
      <c r="G702" s="579"/>
      <c r="H702" s="579"/>
      <c r="I702" s="579"/>
      <c r="J702" s="579"/>
      <c r="K702" s="579"/>
      <c r="L702" s="134"/>
      <c r="M702" s="134"/>
      <c r="N702" s="48"/>
    </row>
    <row r="703" spans="2:15" x14ac:dyDescent="0.25">
      <c r="B703" s="578"/>
      <c r="C703" s="579"/>
      <c r="D703" s="579"/>
      <c r="E703" s="579"/>
      <c r="F703" s="579"/>
      <c r="G703" s="579"/>
      <c r="H703" s="579"/>
      <c r="I703" s="579"/>
      <c r="J703" s="579"/>
      <c r="K703" s="579"/>
      <c r="L703" s="134"/>
      <c r="M703" s="134"/>
      <c r="N703" s="48"/>
    </row>
    <row r="704" spans="2:15" x14ac:dyDescent="0.25">
      <c r="B704" s="578"/>
      <c r="C704" s="579"/>
      <c r="D704" s="579"/>
      <c r="E704" s="579"/>
      <c r="F704" s="579"/>
      <c r="G704" s="579"/>
      <c r="H704" s="579"/>
      <c r="I704" s="579"/>
      <c r="J704" s="579"/>
      <c r="K704" s="579"/>
      <c r="L704" s="134"/>
      <c r="M704" s="134"/>
      <c r="N704" s="48"/>
    </row>
    <row r="705" spans="2:14" s="35" customFormat="1" ht="6.75" customHeight="1" x14ac:dyDescent="0.25">
      <c r="B705" s="43"/>
      <c r="C705" s="66"/>
      <c r="D705" s="44"/>
      <c r="E705" s="44"/>
      <c r="F705" s="44"/>
      <c r="G705" s="44"/>
      <c r="H705" s="44"/>
      <c r="I705" s="44"/>
      <c r="J705" s="44"/>
      <c r="K705" s="44"/>
      <c r="L705" s="44"/>
      <c r="M705" s="44"/>
      <c r="N705" s="45"/>
    </row>
    <row r="706" spans="2:14" ht="24" customHeight="1" x14ac:dyDescent="0.25">
      <c r="B706" s="370" t="s">
        <v>720</v>
      </c>
      <c r="C706" s="531" t="s">
        <v>364</v>
      </c>
      <c r="D706" s="532"/>
      <c r="E706" s="187"/>
      <c r="F706" s="188"/>
      <c r="G706" s="188"/>
      <c r="H706" s="188"/>
      <c r="I706" s="188"/>
      <c r="J706" s="188"/>
      <c r="K706" s="189"/>
      <c r="L706" s="189"/>
      <c r="M706" s="190"/>
      <c r="N706" s="48"/>
    </row>
    <row r="707" spans="2:14" x14ac:dyDescent="0.25">
      <c r="B707" s="578"/>
      <c r="C707" s="579"/>
      <c r="D707" s="579"/>
      <c r="E707" s="579"/>
      <c r="F707" s="579"/>
      <c r="G707" s="579"/>
      <c r="H707" s="579"/>
      <c r="I707" s="579"/>
      <c r="J707" s="579"/>
      <c r="K707" s="579"/>
      <c r="L707" s="134"/>
      <c r="M707" s="134"/>
      <c r="N707" s="48"/>
    </row>
    <row r="708" spans="2:14" x14ac:dyDescent="0.25">
      <c r="B708" s="578"/>
      <c r="C708" s="579"/>
      <c r="D708" s="579"/>
      <c r="E708" s="579"/>
      <c r="F708" s="579"/>
      <c r="G708" s="579"/>
      <c r="H708" s="579"/>
      <c r="I708" s="579"/>
      <c r="J708" s="579"/>
      <c r="K708" s="579"/>
      <c r="L708" s="134"/>
      <c r="M708" s="134"/>
      <c r="N708" s="48"/>
    </row>
    <row r="709" spans="2:14" x14ac:dyDescent="0.25">
      <c r="B709" s="578"/>
      <c r="C709" s="579"/>
      <c r="D709" s="579"/>
      <c r="E709" s="579"/>
      <c r="F709" s="579"/>
      <c r="G709" s="579"/>
      <c r="H709" s="579"/>
      <c r="I709" s="579"/>
      <c r="J709" s="579"/>
      <c r="K709" s="579"/>
      <c r="L709" s="134"/>
      <c r="M709" s="134"/>
      <c r="N709" s="48"/>
    </row>
    <row r="710" spans="2:14" x14ac:dyDescent="0.25">
      <c r="B710" s="578"/>
      <c r="C710" s="579"/>
      <c r="D710" s="579"/>
      <c r="E710" s="579"/>
      <c r="F710" s="579"/>
      <c r="G710" s="579"/>
      <c r="H710" s="579"/>
      <c r="I710" s="579"/>
      <c r="J710" s="579"/>
      <c r="K710" s="579"/>
      <c r="L710" s="134"/>
      <c r="M710" s="134"/>
      <c r="N710" s="48"/>
    </row>
    <row r="711" spans="2:14" x14ac:dyDescent="0.25">
      <c r="B711" s="578"/>
      <c r="C711" s="579"/>
      <c r="D711" s="579"/>
      <c r="E711" s="579"/>
      <c r="F711" s="579"/>
      <c r="G711" s="579"/>
      <c r="H711" s="579"/>
      <c r="I711" s="579"/>
      <c r="J711" s="579"/>
      <c r="K711" s="579"/>
      <c r="L711" s="134"/>
      <c r="M711" s="134"/>
      <c r="N711" s="48"/>
    </row>
    <row r="712" spans="2:14" x14ac:dyDescent="0.25">
      <c r="B712" s="578"/>
      <c r="C712" s="579"/>
      <c r="D712" s="579"/>
      <c r="E712" s="579"/>
      <c r="F712" s="579"/>
      <c r="G712" s="579"/>
      <c r="H712" s="579"/>
      <c r="I712" s="579"/>
      <c r="J712" s="579"/>
      <c r="K712" s="579"/>
      <c r="L712" s="134"/>
      <c r="M712" s="134"/>
      <c r="N712" s="48"/>
    </row>
    <row r="713" spans="2:14" s="35" customFormat="1" ht="6.75" customHeight="1" x14ac:dyDescent="0.25">
      <c r="B713" s="43"/>
      <c r="C713" s="66"/>
      <c r="D713" s="44"/>
      <c r="E713" s="44"/>
      <c r="F713" s="44"/>
      <c r="G713" s="44"/>
      <c r="H713" s="44"/>
      <c r="I713" s="44"/>
      <c r="J713" s="44"/>
      <c r="K713" s="44"/>
      <c r="L713" s="44"/>
      <c r="M713" s="44"/>
      <c r="N713" s="45"/>
    </row>
    <row r="714" spans="2:14" ht="24" customHeight="1" x14ac:dyDescent="0.25">
      <c r="B714" s="103" t="s">
        <v>721</v>
      </c>
      <c r="C714" s="531" t="s">
        <v>365</v>
      </c>
      <c r="D714" s="532"/>
      <c r="E714" s="187"/>
      <c r="F714" s="188"/>
      <c r="G714" s="188"/>
      <c r="H714" s="188"/>
      <c r="I714" s="188"/>
      <c r="J714" s="188"/>
      <c r="K714" s="189"/>
      <c r="L714" s="189"/>
      <c r="M714" s="190"/>
      <c r="N714" s="48"/>
    </row>
    <row r="715" spans="2:14" x14ac:dyDescent="0.25">
      <c r="B715" s="578"/>
      <c r="C715" s="579"/>
      <c r="D715" s="579"/>
      <c r="E715" s="579"/>
      <c r="F715" s="579"/>
      <c r="G715" s="579"/>
      <c r="H715" s="579"/>
      <c r="I715" s="579"/>
      <c r="J715" s="579"/>
      <c r="K715" s="579"/>
      <c r="L715" s="134"/>
      <c r="M715" s="134"/>
      <c r="N715" s="48"/>
    </row>
    <row r="716" spans="2:14" x14ac:dyDescent="0.25">
      <c r="B716" s="578"/>
      <c r="C716" s="579"/>
      <c r="D716" s="579"/>
      <c r="E716" s="579"/>
      <c r="F716" s="579"/>
      <c r="G716" s="579"/>
      <c r="H716" s="579"/>
      <c r="I716" s="579"/>
      <c r="J716" s="579"/>
      <c r="K716" s="579"/>
      <c r="L716" s="134"/>
      <c r="M716" s="134"/>
      <c r="N716" s="48"/>
    </row>
    <row r="717" spans="2:14" x14ac:dyDescent="0.25">
      <c r="B717" s="578"/>
      <c r="C717" s="579"/>
      <c r="D717" s="579"/>
      <c r="E717" s="579"/>
      <c r="F717" s="579"/>
      <c r="G717" s="579"/>
      <c r="H717" s="579"/>
      <c r="I717" s="579"/>
      <c r="J717" s="579"/>
      <c r="K717" s="579"/>
      <c r="L717" s="134"/>
      <c r="M717" s="134"/>
      <c r="N717" s="48"/>
    </row>
    <row r="718" spans="2:14" x14ac:dyDescent="0.25">
      <c r="B718" s="578"/>
      <c r="C718" s="579"/>
      <c r="D718" s="579"/>
      <c r="E718" s="579"/>
      <c r="F718" s="579"/>
      <c r="G718" s="579"/>
      <c r="H718" s="579"/>
      <c r="I718" s="579"/>
      <c r="J718" s="579"/>
      <c r="K718" s="579"/>
      <c r="L718" s="134"/>
      <c r="M718" s="134"/>
      <c r="N718" s="48"/>
    </row>
    <row r="719" spans="2:14" x14ac:dyDescent="0.25">
      <c r="B719" s="578"/>
      <c r="C719" s="579"/>
      <c r="D719" s="579"/>
      <c r="E719" s="579"/>
      <c r="F719" s="579"/>
      <c r="G719" s="579"/>
      <c r="H719" s="579"/>
      <c r="I719" s="579"/>
      <c r="J719" s="579"/>
      <c r="K719" s="579"/>
      <c r="L719" s="134"/>
      <c r="M719" s="134"/>
      <c r="N719" s="48"/>
    </row>
    <row r="720" spans="2:14" x14ac:dyDescent="0.25">
      <c r="B720" s="578"/>
      <c r="C720" s="579"/>
      <c r="D720" s="579"/>
      <c r="E720" s="579"/>
      <c r="F720" s="579"/>
      <c r="G720" s="579"/>
      <c r="H720" s="579"/>
      <c r="I720" s="579"/>
      <c r="J720" s="579"/>
      <c r="K720" s="579"/>
      <c r="L720" s="134"/>
      <c r="M720" s="134"/>
      <c r="N720" s="48"/>
    </row>
    <row r="721" spans="2:14" s="35" customFormat="1" ht="6.75" customHeight="1" x14ac:dyDescent="0.25">
      <c r="B721" s="43"/>
      <c r="C721" s="66"/>
      <c r="D721" s="44"/>
      <c r="E721" s="44"/>
      <c r="F721" s="44"/>
      <c r="G721" s="44"/>
      <c r="H721" s="44"/>
      <c r="I721" s="44"/>
      <c r="J721" s="44"/>
      <c r="K721" s="44"/>
      <c r="L721" s="44"/>
      <c r="M721" s="44"/>
      <c r="N721" s="45"/>
    </row>
    <row r="722" spans="2:14" ht="24" customHeight="1" x14ac:dyDescent="0.25">
      <c r="B722" s="103" t="s">
        <v>722</v>
      </c>
      <c r="C722" s="531" t="s">
        <v>366</v>
      </c>
      <c r="D722" s="532"/>
      <c r="E722" s="187"/>
      <c r="F722" s="188"/>
      <c r="G722" s="188"/>
      <c r="H722" s="188"/>
      <c r="I722" s="188"/>
      <c r="J722" s="188"/>
      <c r="K722" s="189"/>
      <c r="L722" s="189"/>
      <c r="M722" s="190"/>
      <c r="N722" s="48"/>
    </row>
    <row r="723" spans="2:14" x14ac:dyDescent="0.25">
      <c r="B723" s="578"/>
      <c r="C723" s="579"/>
      <c r="D723" s="579"/>
      <c r="E723" s="579"/>
      <c r="F723" s="579"/>
      <c r="G723" s="579"/>
      <c r="H723" s="579"/>
      <c r="I723" s="579"/>
      <c r="J723" s="579"/>
      <c r="K723" s="579"/>
      <c r="L723" s="134"/>
      <c r="M723" s="134"/>
      <c r="N723" s="48"/>
    </row>
    <row r="724" spans="2:14" x14ac:dyDescent="0.25">
      <c r="B724" s="578"/>
      <c r="C724" s="579"/>
      <c r="D724" s="579"/>
      <c r="E724" s="579"/>
      <c r="F724" s="579"/>
      <c r="G724" s="579"/>
      <c r="H724" s="579"/>
      <c r="I724" s="579"/>
      <c r="J724" s="579"/>
      <c r="K724" s="579"/>
      <c r="L724" s="134"/>
      <c r="M724" s="134"/>
      <c r="N724" s="48"/>
    </row>
    <row r="725" spans="2:14" x14ac:dyDescent="0.25">
      <c r="B725" s="578"/>
      <c r="C725" s="579"/>
      <c r="D725" s="579"/>
      <c r="E725" s="579"/>
      <c r="F725" s="579"/>
      <c r="G725" s="579"/>
      <c r="H725" s="579"/>
      <c r="I725" s="579"/>
      <c r="J725" s="579"/>
      <c r="K725" s="579"/>
      <c r="L725" s="134"/>
      <c r="M725" s="134"/>
      <c r="N725" s="48"/>
    </row>
    <row r="726" spans="2:14" x14ac:dyDescent="0.25">
      <c r="B726" s="578"/>
      <c r="C726" s="579"/>
      <c r="D726" s="579"/>
      <c r="E726" s="579"/>
      <c r="F726" s="579"/>
      <c r="G726" s="579"/>
      <c r="H726" s="579"/>
      <c r="I726" s="579"/>
      <c r="J726" s="579"/>
      <c r="K726" s="579"/>
      <c r="L726" s="134"/>
      <c r="M726" s="134"/>
      <c r="N726" s="48"/>
    </row>
    <row r="727" spans="2:14" x14ac:dyDescent="0.25">
      <c r="B727" s="578"/>
      <c r="C727" s="579"/>
      <c r="D727" s="579"/>
      <c r="E727" s="579"/>
      <c r="F727" s="579"/>
      <c r="G727" s="579"/>
      <c r="H727" s="579"/>
      <c r="I727" s="579"/>
      <c r="J727" s="579"/>
      <c r="K727" s="579"/>
      <c r="L727" s="134"/>
      <c r="M727" s="134"/>
      <c r="N727" s="48"/>
    </row>
    <row r="728" spans="2:14" x14ac:dyDescent="0.25">
      <c r="B728" s="578"/>
      <c r="C728" s="579"/>
      <c r="D728" s="579"/>
      <c r="E728" s="579"/>
      <c r="F728" s="579"/>
      <c r="G728" s="579"/>
      <c r="H728" s="579"/>
      <c r="I728" s="579"/>
      <c r="J728" s="579"/>
      <c r="K728" s="579"/>
      <c r="L728" s="134"/>
      <c r="M728" s="134"/>
      <c r="N728" s="48"/>
    </row>
    <row r="729" spans="2:14" s="35" customFormat="1" ht="6.75" customHeight="1" x14ac:dyDescent="0.25">
      <c r="B729" s="43"/>
      <c r="C729" s="66"/>
      <c r="D729" s="44"/>
      <c r="E729" s="44"/>
      <c r="F729" s="44"/>
      <c r="G729" s="44"/>
      <c r="H729" s="44"/>
      <c r="I729" s="44"/>
      <c r="J729" s="44"/>
      <c r="K729" s="44"/>
      <c r="L729" s="44"/>
      <c r="M729" s="44"/>
      <c r="N729" s="45"/>
    </row>
    <row r="730" spans="2:14" ht="24" customHeight="1" x14ac:dyDescent="0.25">
      <c r="B730" s="103" t="s">
        <v>723</v>
      </c>
      <c r="C730" s="531" t="s">
        <v>367</v>
      </c>
      <c r="D730" s="532"/>
      <c r="E730" s="187"/>
      <c r="F730" s="188"/>
      <c r="G730" s="188"/>
      <c r="H730" s="188"/>
      <c r="I730" s="188"/>
      <c r="J730" s="188"/>
      <c r="K730" s="189"/>
      <c r="L730" s="189"/>
      <c r="M730" s="190"/>
      <c r="N730" s="48"/>
    </row>
    <row r="731" spans="2:14" x14ac:dyDescent="0.25">
      <c r="B731" s="578"/>
      <c r="C731" s="579"/>
      <c r="D731" s="579"/>
      <c r="E731" s="579"/>
      <c r="F731" s="579"/>
      <c r="G731" s="579"/>
      <c r="H731" s="579"/>
      <c r="I731" s="579"/>
      <c r="J731" s="579"/>
      <c r="K731" s="579"/>
      <c r="L731" s="134"/>
      <c r="M731" s="134"/>
      <c r="N731" s="48"/>
    </row>
    <row r="732" spans="2:14" x14ac:dyDescent="0.25">
      <c r="B732" s="578"/>
      <c r="C732" s="579"/>
      <c r="D732" s="579"/>
      <c r="E732" s="579"/>
      <c r="F732" s="579"/>
      <c r="G732" s="579"/>
      <c r="H732" s="579"/>
      <c r="I732" s="579"/>
      <c r="J732" s="579"/>
      <c r="K732" s="579"/>
      <c r="L732" s="134"/>
      <c r="M732" s="134"/>
      <c r="N732" s="48"/>
    </row>
    <row r="733" spans="2:14" x14ac:dyDescent="0.25">
      <c r="B733" s="578"/>
      <c r="C733" s="579"/>
      <c r="D733" s="579"/>
      <c r="E733" s="579"/>
      <c r="F733" s="579"/>
      <c r="G733" s="579"/>
      <c r="H733" s="579"/>
      <c r="I733" s="579"/>
      <c r="J733" s="579"/>
      <c r="K733" s="579"/>
      <c r="L733" s="134"/>
      <c r="M733" s="134"/>
      <c r="N733" s="48"/>
    </row>
    <row r="734" spans="2:14" x14ac:dyDescent="0.25">
      <c r="B734" s="578"/>
      <c r="C734" s="579"/>
      <c r="D734" s="579"/>
      <c r="E734" s="579"/>
      <c r="F734" s="579"/>
      <c r="G734" s="579"/>
      <c r="H734" s="579"/>
      <c r="I734" s="579"/>
      <c r="J734" s="579"/>
      <c r="K734" s="579"/>
      <c r="L734" s="134"/>
      <c r="M734" s="134"/>
      <c r="N734" s="48"/>
    </row>
    <row r="735" spans="2:14" x14ac:dyDescent="0.25">
      <c r="B735" s="578"/>
      <c r="C735" s="579"/>
      <c r="D735" s="579"/>
      <c r="E735" s="579"/>
      <c r="F735" s="579"/>
      <c r="G735" s="579"/>
      <c r="H735" s="579"/>
      <c r="I735" s="579"/>
      <c r="J735" s="579"/>
      <c r="K735" s="579"/>
      <c r="L735" s="134"/>
      <c r="M735" s="134"/>
      <c r="N735" s="48"/>
    </row>
    <row r="736" spans="2:14" x14ac:dyDescent="0.25">
      <c r="B736" s="578"/>
      <c r="C736" s="579"/>
      <c r="D736" s="579"/>
      <c r="E736" s="579"/>
      <c r="F736" s="579"/>
      <c r="G736" s="579"/>
      <c r="H736" s="579"/>
      <c r="I736" s="579"/>
      <c r="J736" s="579"/>
      <c r="K736" s="579"/>
      <c r="L736" s="134"/>
      <c r="M736" s="134"/>
      <c r="N736" s="48"/>
    </row>
    <row r="737" spans="2:14" s="35" customFormat="1" ht="6.75" customHeight="1" x14ac:dyDescent="0.25">
      <c r="B737" s="43"/>
      <c r="C737" s="66"/>
      <c r="D737" s="44"/>
      <c r="E737" s="44"/>
      <c r="F737" s="44"/>
      <c r="G737" s="44"/>
      <c r="H737" s="44"/>
      <c r="I737" s="44"/>
      <c r="J737" s="44"/>
      <c r="K737" s="44"/>
      <c r="L737" s="44"/>
      <c r="M737" s="44"/>
      <c r="N737" s="45"/>
    </row>
    <row r="738" spans="2:14" ht="24" customHeight="1" x14ac:dyDescent="0.25">
      <c r="B738" s="103" t="s">
        <v>724</v>
      </c>
      <c r="C738" s="531" t="s">
        <v>368</v>
      </c>
      <c r="D738" s="532"/>
      <c r="E738" s="187"/>
      <c r="F738" s="188"/>
      <c r="G738" s="188"/>
      <c r="H738" s="188"/>
      <c r="I738" s="188"/>
      <c r="J738" s="188"/>
      <c r="K738" s="189"/>
      <c r="L738" s="189"/>
      <c r="M738" s="190"/>
      <c r="N738" s="48"/>
    </row>
    <row r="739" spans="2:14" x14ac:dyDescent="0.25">
      <c r="B739" s="578"/>
      <c r="C739" s="579"/>
      <c r="D739" s="579"/>
      <c r="E739" s="579"/>
      <c r="F739" s="579"/>
      <c r="G739" s="579"/>
      <c r="H739" s="579"/>
      <c r="I739" s="579"/>
      <c r="J739" s="579"/>
      <c r="K739" s="579"/>
      <c r="L739" s="134"/>
      <c r="M739" s="134"/>
      <c r="N739" s="48"/>
    </row>
    <row r="740" spans="2:14" x14ac:dyDescent="0.25">
      <c r="B740" s="578"/>
      <c r="C740" s="579"/>
      <c r="D740" s="579"/>
      <c r="E740" s="579"/>
      <c r="F740" s="579"/>
      <c r="G740" s="579"/>
      <c r="H740" s="579"/>
      <c r="I740" s="579"/>
      <c r="J740" s="579"/>
      <c r="K740" s="579"/>
      <c r="L740" s="134"/>
      <c r="M740" s="134"/>
      <c r="N740" s="48"/>
    </row>
    <row r="741" spans="2:14" x14ac:dyDescent="0.25">
      <c r="B741" s="578"/>
      <c r="C741" s="579"/>
      <c r="D741" s="579"/>
      <c r="E741" s="579"/>
      <c r="F741" s="579"/>
      <c r="G741" s="579"/>
      <c r="H741" s="579"/>
      <c r="I741" s="579"/>
      <c r="J741" s="579"/>
      <c r="K741" s="579"/>
      <c r="L741" s="134"/>
      <c r="M741" s="134"/>
      <c r="N741" s="48"/>
    </row>
    <row r="742" spans="2:14" x14ac:dyDescent="0.25">
      <c r="B742" s="578"/>
      <c r="C742" s="579"/>
      <c r="D742" s="579"/>
      <c r="E742" s="579"/>
      <c r="F742" s="579"/>
      <c r="G742" s="579"/>
      <c r="H742" s="579"/>
      <c r="I742" s="579"/>
      <c r="J742" s="579"/>
      <c r="K742" s="579"/>
      <c r="L742" s="134"/>
      <c r="M742" s="134"/>
      <c r="N742" s="48"/>
    </row>
    <row r="743" spans="2:14" x14ac:dyDescent="0.25">
      <c r="B743" s="578"/>
      <c r="C743" s="579"/>
      <c r="D743" s="579"/>
      <c r="E743" s="579"/>
      <c r="F743" s="579"/>
      <c r="G743" s="579"/>
      <c r="H743" s="579"/>
      <c r="I743" s="579"/>
      <c r="J743" s="579"/>
      <c r="K743" s="579"/>
      <c r="L743" s="134"/>
      <c r="M743" s="134"/>
      <c r="N743" s="48"/>
    </row>
    <row r="744" spans="2:14" x14ac:dyDescent="0.25">
      <c r="B744" s="578"/>
      <c r="C744" s="579"/>
      <c r="D744" s="579"/>
      <c r="E744" s="579"/>
      <c r="F744" s="579"/>
      <c r="G744" s="579"/>
      <c r="H744" s="579"/>
      <c r="I744" s="579"/>
      <c r="J744" s="579"/>
      <c r="K744" s="579"/>
      <c r="L744" s="134"/>
      <c r="M744" s="134"/>
      <c r="N744" s="48"/>
    </row>
    <row r="745" spans="2:14" s="35" customFormat="1" ht="6.75" customHeight="1" x14ac:dyDescent="0.25">
      <c r="B745" s="43"/>
      <c r="C745" s="66"/>
      <c r="D745" s="44"/>
      <c r="E745" s="44"/>
      <c r="F745" s="44"/>
      <c r="G745" s="44"/>
      <c r="H745" s="44"/>
      <c r="I745" s="44"/>
      <c r="J745" s="44"/>
      <c r="K745" s="44"/>
      <c r="L745" s="44"/>
      <c r="M745" s="44"/>
      <c r="N745" s="45"/>
    </row>
    <row r="746" spans="2:14" ht="24" customHeight="1" x14ac:dyDescent="0.25">
      <c r="B746" s="103" t="s">
        <v>725</v>
      </c>
      <c r="C746" s="531" t="s">
        <v>369</v>
      </c>
      <c r="D746" s="532"/>
      <c r="E746" s="187"/>
      <c r="F746" s="188"/>
      <c r="G746" s="188"/>
      <c r="H746" s="188"/>
      <c r="I746" s="188"/>
      <c r="J746" s="188"/>
      <c r="K746" s="189"/>
      <c r="L746" s="189"/>
      <c r="M746" s="190"/>
      <c r="N746" s="48"/>
    </row>
    <row r="747" spans="2:14" x14ac:dyDescent="0.25">
      <c r="B747" s="578"/>
      <c r="C747" s="579"/>
      <c r="D747" s="579"/>
      <c r="E747" s="579"/>
      <c r="F747" s="579"/>
      <c r="G747" s="579"/>
      <c r="H747" s="579"/>
      <c r="I747" s="579"/>
      <c r="J747" s="579"/>
      <c r="K747" s="579"/>
      <c r="L747" s="134"/>
      <c r="M747" s="134"/>
      <c r="N747" s="48"/>
    </row>
    <row r="748" spans="2:14" x14ac:dyDescent="0.25">
      <c r="B748" s="578"/>
      <c r="C748" s="579"/>
      <c r="D748" s="579"/>
      <c r="E748" s="579"/>
      <c r="F748" s="579"/>
      <c r="G748" s="579"/>
      <c r="H748" s="579"/>
      <c r="I748" s="579"/>
      <c r="J748" s="579"/>
      <c r="K748" s="579"/>
      <c r="L748" s="134"/>
      <c r="M748" s="134"/>
      <c r="N748" s="48"/>
    </row>
    <row r="749" spans="2:14" x14ac:dyDescent="0.25">
      <c r="B749" s="578"/>
      <c r="C749" s="579"/>
      <c r="D749" s="579"/>
      <c r="E749" s="579"/>
      <c r="F749" s="579"/>
      <c r="G749" s="579"/>
      <c r="H749" s="579"/>
      <c r="I749" s="579"/>
      <c r="J749" s="579"/>
      <c r="K749" s="579"/>
      <c r="L749" s="134"/>
      <c r="M749" s="134"/>
      <c r="N749" s="48"/>
    </row>
    <row r="750" spans="2:14" x14ac:dyDescent="0.25">
      <c r="B750" s="578"/>
      <c r="C750" s="579"/>
      <c r="D750" s="579"/>
      <c r="E750" s="579"/>
      <c r="F750" s="579"/>
      <c r="G750" s="579"/>
      <c r="H750" s="579"/>
      <c r="I750" s="579"/>
      <c r="J750" s="579"/>
      <c r="K750" s="579"/>
      <c r="L750" s="134"/>
      <c r="M750" s="134"/>
      <c r="N750" s="48"/>
    </row>
    <row r="751" spans="2:14" x14ac:dyDescent="0.25">
      <c r="B751" s="578"/>
      <c r="C751" s="579"/>
      <c r="D751" s="579"/>
      <c r="E751" s="579"/>
      <c r="F751" s="579"/>
      <c r="G751" s="579"/>
      <c r="H751" s="579"/>
      <c r="I751" s="579"/>
      <c r="J751" s="579"/>
      <c r="K751" s="579"/>
      <c r="L751" s="134"/>
      <c r="M751" s="134"/>
      <c r="N751" s="48"/>
    </row>
    <row r="752" spans="2:14" x14ac:dyDescent="0.25">
      <c r="B752" s="578"/>
      <c r="C752" s="579"/>
      <c r="D752" s="579"/>
      <c r="E752" s="579"/>
      <c r="F752" s="579"/>
      <c r="G752" s="579"/>
      <c r="H752" s="579"/>
      <c r="I752" s="579"/>
      <c r="J752" s="579"/>
      <c r="K752" s="579"/>
      <c r="L752" s="134"/>
      <c r="M752" s="134"/>
      <c r="N752" s="48"/>
    </row>
    <row r="753" spans="2:14" s="35" customFormat="1" ht="6.75" customHeight="1" x14ac:dyDescent="0.25">
      <c r="B753" s="43"/>
      <c r="C753" s="66"/>
      <c r="D753" s="44"/>
      <c r="E753" s="44"/>
      <c r="F753" s="44"/>
      <c r="G753" s="44"/>
      <c r="H753" s="44"/>
      <c r="I753" s="44"/>
      <c r="J753" s="44"/>
      <c r="K753" s="44"/>
      <c r="L753" s="44"/>
      <c r="M753" s="44"/>
      <c r="N753" s="45"/>
    </row>
    <row r="754" spans="2:14" ht="24" customHeight="1" x14ac:dyDescent="0.25">
      <c r="B754" s="103" t="s">
        <v>726</v>
      </c>
      <c r="C754" s="531" t="s">
        <v>370</v>
      </c>
      <c r="D754" s="532"/>
      <c r="E754" s="187"/>
      <c r="F754" s="188"/>
      <c r="G754" s="188"/>
      <c r="H754" s="188"/>
      <c r="I754" s="188"/>
      <c r="J754" s="188"/>
      <c r="K754" s="189"/>
      <c r="L754" s="189"/>
      <c r="M754" s="190"/>
      <c r="N754" s="48"/>
    </row>
    <row r="755" spans="2:14" x14ac:dyDescent="0.25">
      <c r="B755" s="578"/>
      <c r="C755" s="579"/>
      <c r="D755" s="579"/>
      <c r="E755" s="579"/>
      <c r="F755" s="579"/>
      <c r="G755" s="579"/>
      <c r="H755" s="579"/>
      <c r="I755" s="579"/>
      <c r="J755" s="579"/>
      <c r="K755" s="579"/>
      <c r="L755" s="134"/>
      <c r="M755" s="134"/>
      <c r="N755" s="48"/>
    </row>
    <row r="756" spans="2:14" x14ac:dyDescent="0.25">
      <c r="B756" s="578"/>
      <c r="C756" s="579"/>
      <c r="D756" s="579"/>
      <c r="E756" s="579"/>
      <c r="F756" s="579"/>
      <c r="G756" s="579"/>
      <c r="H756" s="579"/>
      <c r="I756" s="579"/>
      <c r="J756" s="579"/>
      <c r="K756" s="579"/>
      <c r="L756" s="134"/>
      <c r="M756" s="134"/>
      <c r="N756" s="48"/>
    </row>
    <row r="757" spans="2:14" x14ac:dyDescent="0.25">
      <c r="B757" s="578"/>
      <c r="C757" s="579"/>
      <c r="D757" s="579"/>
      <c r="E757" s="579"/>
      <c r="F757" s="579"/>
      <c r="G757" s="579"/>
      <c r="H757" s="579"/>
      <c r="I757" s="579"/>
      <c r="J757" s="579"/>
      <c r="K757" s="579"/>
      <c r="L757" s="134"/>
      <c r="M757" s="134"/>
      <c r="N757" s="48"/>
    </row>
    <row r="758" spans="2:14" x14ac:dyDescent="0.25">
      <c r="B758" s="578"/>
      <c r="C758" s="579"/>
      <c r="D758" s="579"/>
      <c r="E758" s="579"/>
      <c r="F758" s="579"/>
      <c r="G758" s="579"/>
      <c r="H758" s="579"/>
      <c r="I758" s="579"/>
      <c r="J758" s="579"/>
      <c r="K758" s="579"/>
      <c r="L758" s="134"/>
      <c r="M758" s="134"/>
      <c r="N758" s="48"/>
    </row>
    <row r="759" spans="2:14" x14ac:dyDescent="0.25">
      <c r="B759" s="578"/>
      <c r="C759" s="579"/>
      <c r="D759" s="579"/>
      <c r="E759" s="579"/>
      <c r="F759" s="579"/>
      <c r="G759" s="579"/>
      <c r="H759" s="579"/>
      <c r="I759" s="579"/>
      <c r="J759" s="579"/>
      <c r="K759" s="579"/>
      <c r="L759" s="134"/>
      <c r="M759" s="134"/>
      <c r="N759" s="48"/>
    </row>
    <row r="760" spans="2:14" x14ac:dyDescent="0.25">
      <c r="B760" s="578"/>
      <c r="C760" s="579"/>
      <c r="D760" s="579"/>
      <c r="E760" s="579"/>
      <c r="F760" s="579"/>
      <c r="G760" s="579"/>
      <c r="H760" s="579"/>
      <c r="I760" s="579"/>
      <c r="J760" s="579"/>
      <c r="K760" s="579"/>
      <c r="L760" s="134"/>
      <c r="M760" s="134"/>
      <c r="N760" s="48"/>
    </row>
    <row r="761" spans="2:14" s="35" customFormat="1" ht="6.75" customHeight="1" thickBot="1" x14ac:dyDescent="0.3">
      <c r="B761" s="52"/>
      <c r="C761" s="81"/>
      <c r="D761" s="53"/>
      <c r="E761" s="53"/>
      <c r="F761" s="53"/>
      <c r="G761" s="53"/>
      <c r="H761" s="53"/>
      <c r="I761" s="53"/>
      <c r="J761" s="53"/>
      <c r="K761" s="53"/>
      <c r="L761" s="53"/>
      <c r="M761" s="53"/>
      <c r="N761" s="54"/>
    </row>
    <row r="762" spans="2:14" ht="4.5" customHeight="1" x14ac:dyDescent="0.25"/>
    <row r="763" spans="2:14" s="35" customFormat="1" ht="6.75" customHeight="1" thickBot="1" x14ac:dyDescent="0.3">
      <c r="B763" s="338"/>
      <c r="C763" s="81"/>
      <c r="D763" s="53"/>
      <c r="E763" s="53"/>
      <c r="F763" s="53"/>
      <c r="G763" s="53"/>
      <c r="H763" s="53"/>
      <c r="I763" s="53"/>
      <c r="J763" s="53"/>
      <c r="K763" s="53"/>
      <c r="L763" s="53"/>
      <c r="M763" s="53"/>
      <c r="N763" s="53"/>
    </row>
    <row r="764" spans="2:14" ht="4.5" customHeight="1" thickBot="1" x14ac:dyDescent="0.3">
      <c r="B764" s="77"/>
      <c r="C764" s="78"/>
      <c r="D764" s="78"/>
      <c r="E764" s="78"/>
      <c r="F764" s="78"/>
      <c r="G764" s="78"/>
      <c r="H764" s="78"/>
      <c r="I764" s="78"/>
      <c r="J764" s="78"/>
      <c r="K764" s="78"/>
      <c r="L764" s="78"/>
      <c r="M764" s="78"/>
      <c r="N764" s="79"/>
    </row>
    <row r="765" spans="2:14" s="9" customFormat="1" ht="23.25" customHeight="1" thickBot="1" x14ac:dyDescent="0.3">
      <c r="B765" s="41" t="s">
        <v>130</v>
      </c>
      <c r="C765" s="165" t="s">
        <v>728</v>
      </c>
      <c r="D765" s="221"/>
      <c r="E765" s="221"/>
      <c r="F765" s="221"/>
      <c r="G765" s="221"/>
      <c r="H765" s="221"/>
      <c r="I765" s="222"/>
      <c r="J765" s="222"/>
      <c r="K765" s="222"/>
      <c r="L765" s="222"/>
      <c r="M765" s="223"/>
      <c r="N765" s="40"/>
    </row>
    <row r="766" spans="2:14" s="35" customFormat="1" ht="6.75" customHeight="1" x14ac:dyDescent="0.25">
      <c r="B766" s="43"/>
      <c r="C766" s="66"/>
      <c r="D766" s="44"/>
      <c r="E766" s="44"/>
      <c r="F766" s="44"/>
      <c r="G766" s="44"/>
      <c r="H766" s="44"/>
      <c r="I766" s="44"/>
      <c r="J766" s="44"/>
      <c r="K766" s="44"/>
      <c r="L766" s="44"/>
      <c r="M766" s="44"/>
      <c r="N766" s="45"/>
    </row>
    <row r="767" spans="2:14" customFormat="1" ht="24" customHeight="1" x14ac:dyDescent="0.25">
      <c r="B767" s="224" t="s">
        <v>729</v>
      </c>
      <c r="C767" s="633" t="s">
        <v>627</v>
      </c>
      <c r="D767" s="634"/>
      <c r="E767" s="634"/>
      <c r="F767" s="635"/>
      <c r="G767" s="463"/>
      <c r="H767" s="568"/>
      <c r="I767" s="352" t="s">
        <v>732</v>
      </c>
      <c r="J767" s="573" t="s">
        <v>779</v>
      </c>
      <c r="K767" s="574"/>
      <c r="L767" s="463"/>
      <c r="M767" s="568"/>
    </row>
    <row r="768" spans="2:14" s="35" customFormat="1" ht="6.75" customHeight="1" x14ac:dyDescent="0.25">
      <c r="B768" s="43"/>
      <c r="C768" s="66"/>
      <c r="D768" s="44"/>
      <c r="E768" s="44"/>
      <c r="F768" s="44"/>
      <c r="G768" s="44"/>
      <c r="H768" s="44"/>
      <c r="I768" s="44"/>
      <c r="J768" s="44"/>
      <c r="K768" s="44"/>
      <c r="L768" s="44"/>
      <c r="M768" s="44"/>
      <c r="N768" s="45"/>
    </row>
    <row r="769" spans="2:14" customFormat="1" ht="24" customHeight="1" x14ac:dyDescent="0.25">
      <c r="B769" s="224" t="s">
        <v>730</v>
      </c>
      <c r="C769" s="633" t="s">
        <v>618</v>
      </c>
      <c r="D769" s="634"/>
      <c r="E769" s="634"/>
      <c r="F769" s="635"/>
      <c r="G769" s="463"/>
      <c r="H769" s="568"/>
      <c r="I769" s="352" t="s">
        <v>731</v>
      </c>
      <c r="J769" s="573" t="s">
        <v>628</v>
      </c>
      <c r="K769" s="574"/>
      <c r="L769" s="463"/>
      <c r="M769" s="464"/>
    </row>
    <row r="770" spans="2:14" s="35" customFormat="1" ht="6.75" customHeight="1" x14ac:dyDescent="0.25">
      <c r="B770" s="43"/>
      <c r="C770" s="66"/>
      <c r="D770" s="44"/>
      <c r="E770" s="44"/>
      <c r="F770" s="44"/>
      <c r="G770" s="44"/>
      <c r="H770" s="44"/>
      <c r="I770" s="44"/>
      <c r="J770" s="44"/>
      <c r="K770" s="44"/>
      <c r="L770" s="44"/>
      <c r="M770" s="44"/>
      <c r="N770" s="45"/>
    </row>
    <row r="771" spans="2:14" customFormat="1" ht="24" customHeight="1" x14ac:dyDescent="0.25">
      <c r="B771" s="224" t="s">
        <v>733</v>
      </c>
      <c r="C771" s="573" t="s">
        <v>629</v>
      </c>
      <c r="D771" s="636"/>
      <c r="E771" s="636"/>
      <c r="F771" s="637"/>
      <c r="G771" s="571" t="str">
        <f>IF(OR(reporting_period_ends="",effective_of=""),"",DATEDIF(effective_of,reporting_period_ends,"m"))</f>
        <v/>
      </c>
      <c r="H771" s="572"/>
      <c r="I771" s="352" t="s">
        <v>777</v>
      </c>
      <c r="J771" s="638" t="s">
        <v>778</v>
      </c>
      <c r="K771" s="639"/>
      <c r="L771" s="463"/>
      <c r="M771" s="464"/>
    </row>
    <row r="772" spans="2:14" s="35" customFormat="1" ht="6.75" customHeight="1" x14ac:dyDescent="0.25">
      <c r="B772" s="43"/>
      <c r="C772" s="66"/>
      <c r="D772" s="44"/>
      <c r="E772" s="44"/>
      <c r="F772" s="44"/>
      <c r="G772" s="44"/>
      <c r="H772" s="44"/>
      <c r="I772" s="44"/>
      <c r="J772" s="44"/>
      <c r="K772" s="44"/>
      <c r="L772" s="44"/>
      <c r="M772" s="44"/>
      <c r="N772" s="45"/>
    </row>
    <row r="773" spans="2:14" s="35" customFormat="1" ht="6.75" customHeight="1" x14ac:dyDescent="0.25">
      <c r="B773" s="43"/>
      <c r="C773" s="66"/>
      <c r="D773" s="44"/>
      <c r="E773" s="44"/>
      <c r="F773" s="44"/>
      <c r="G773" s="44"/>
      <c r="H773" s="44"/>
      <c r="I773" s="44"/>
      <c r="J773" s="44"/>
      <c r="K773" s="44"/>
      <c r="L773" s="44"/>
      <c r="M773" s="44"/>
      <c r="N773" s="45"/>
    </row>
    <row r="774" spans="2:14" ht="34.5" customHeight="1" x14ac:dyDescent="0.25">
      <c r="B774" s="329"/>
      <c r="C774" s="569" t="s">
        <v>625</v>
      </c>
      <c r="D774" s="570"/>
      <c r="E774" s="570"/>
      <c r="F774" s="642" t="s">
        <v>619</v>
      </c>
      <c r="G774" s="642" t="s">
        <v>620</v>
      </c>
      <c r="H774" s="640" t="s">
        <v>621</v>
      </c>
      <c r="I774" s="641"/>
      <c r="J774" s="642" t="s">
        <v>624</v>
      </c>
      <c r="K774" s="642" t="s">
        <v>626</v>
      </c>
      <c r="L774" s="641"/>
      <c r="M774" s="641"/>
      <c r="N774" s="48"/>
    </row>
    <row r="775" spans="2:14" ht="23.1" customHeight="1" x14ac:dyDescent="0.25">
      <c r="B775" s="329"/>
      <c r="C775" s="570"/>
      <c r="D775" s="570"/>
      <c r="E775" s="570"/>
      <c r="F775" s="641"/>
      <c r="G775" s="641"/>
      <c r="H775" s="68" t="s">
        <v>622</v>
      </c>
      <c r="I775" s="68" t="s">
        <v>623</v>
      </c>
      <c r="J775" s="641"/>
      <c r="K775" s="641"/>
      <c r="L775" s="641"/>
      <c r="M775" s="641"/>
      <c r="N775" s="48"/>
    </row>
    <row r="776" spans="2:14" ht="21" customHeight="1" x14ac:dyDescent="0.25">
      <c r="B776" s="329">
        <v>1</v>
      </c>
      <c r="C776" s="476"/>
      <c r="D776" s="477"/>
      <c r="E776" s="478"/>
      <c r="F776" s="353"/>
      <c r="G776" s="353"/>
      <c r="H776" s="418"/>
      <c r="I776" s="419"/>
      <c r="J776" s="351"/>
      <c r="K776" s="484"/>
      <c r="L776" s="485"/>
      <c r="M776" s="486"/>
      <c r="N776" s="48"/>
    </row>
    <row r="777" spans="2:14" ht="21" customHeight="1" x14ac:dyDescent="0.25">
      <c r="B777" s="329">
        <v>2</v>
      </c>
      <c r="C777" s="476"/>
      <c r="D777" s="477"/>
      <c r="E777" s="478"/>
      <c r="F777" s="353"/>
      <c r="G777" s="353"/>
      <c r="H777" s="418"/>
      <c r="I777" s="419"/>
      <c r="J777" s="351"/>
      <c r="K777" s="484"/>
      <c r="L777" s="485"/>
      <c r="M777" s="486"/>
      <c r="N777" s="48"/>
    </row>
    <row r="778" spans="2:14" ht="21" customHeight="1" x14ac:dyDescent="0.25">
      <c r="B778" s="329">
        <v>3</v>
      </c>
      <c r="C778" s="476"/>
      <c r="D778" s="477"/>
      <c r="E778" s="478"/>
      <c r="F778" s="353"/>
      <c r="G778" s="353"/>
      <c r="H778" s="418"/>
      <c r="I778" s="419"/>
      <c r="J778" s="351"/>
      <c r="K778" s="484"/>
      <c r="L778" s="485"/>
      <c r="M778" s="486"/>
      <c r="N778" s="48"/>
    </row>
    <row r="779" spans="2:14" ht="21" customHeight="1" x14ac:dyDescent="0.25">
      <c r="B779" s="329">
        <v>4</v>
      </c>
      <c r="C779" s="476"/>
      <c r="D779" s="477"/>
      <c r="E779" s="478"/>
      <c r="F779" s="353"/>
      <c r="G779" s="353"/>
      <c r="H779" s="418"/>
      <c r="I779" s="419"/>
      <c r="J779" s="351"/>
      <c r="K779" s="484"/>
      <c r="L779" s="485"/>
      <c r="M779" s="486"/>
      <c r="N779" s="48"/>
    </row>
    <row r="780" spans="2:14" ht="21" customHeight="1" x14ac:dyDescent="0.25">
      <c r="B780" s="329">
        <v>5</v>
      </c>
      <c r="C780" s="476"/>
      <c r="D780" s="477"/>
      <c r="E780" s="478"/>
      <c r="F780" s="353"/>
      <c r="G780" s="353"/>
      <c r="H780" s="418"/>
      <c r="I780" s="419"/>
      <c r="J780" s="351"/>
      <c r="K780" s="484"/>
      <c r="L780" s="485"/>
      <c r="M780" s="486"/>
      <c r="N780" s="48"/>
    </row>
    <row r="781" spans="2:14" ht="21" customHeight="1" x14ac:dyDescent="0.25">
      <c r="B781" s="329">
        <v>6</v>
      </c>
      <c r="C781" s="476"/>
      <c r="D781" s="477"/>
      <c r="E781" s="478"/>
      <c r="F781" s="353"/>
      <c r="G781" s="353"/>
      <c r="H781" s="418"/>
      <c r="I781" s="419"/>
      <c r="J781" s="351"/>
      <c r="K781" s="484"/>
      <c r="L781" s="485"/>
      <c r="M781" s="486"/>
      <c r="N781" s="48"/>
    </row>
    <row r="782" spans="2:14" ht="21" customHeight="1" x14ac:dyDescent="0.25">
      <c r="B782" s="329">
        <v>7</v>
      </c>
      <c r="C782" s="476"/>
      <c r="D782" s="477"/>
      <c r="E782" s="478"/>
      <c r="F782" s="353"/>
      <c r="G782" s="353"/>
      <c r="H782" s="418"/>
      <c r="I782" s="419"/>
      <c r="J782" s="351"/>
      <c r="K782" s="484"/>
      <c r="L782" s="485"/>
      <c r="M782" s="486"/>
      <c r="N782" s="48"/>
    </row>
    <row r="783" spans="2:14" ht="21" customHeight="1" x14ac:dyDescent="0.25">
      <c r="B783" s="329">
        <v>8</v>
      </c>
      <c r="C783" s="476"/>
      <c r="D783" s="477"/>
      <c r="E783" s="478"/>
      <c r="F783" s="353"/>
      <c r="G783" s="353"/>
      <c r="H783" s="418"/>
      <c r="I783" s="419"/>
      <c r="J783" s="351"/>
      <c r="K783" s="484"/>
      <c r="L783" s="485"/>
      <c r="M783" s="486"/>
      <c r="N783" s="48"/>
    </row>
    <row r="784" spans="2:14" ht="21" customHeight="1" x14ac:dyDescent="0.25">
      <c r="B784" s="329">
        <v>9</v>
      </c>
      <c r="C784" s="476"/>
      <c r="D784" s="477"/>
      <c r="E784" s="478"/>
      <c r="F784" s="353"/>
      <c r="G784" s="353"/>
      <c r="H784" s="418"/>
      <c r="I784" s="419"/>
      <c r="J784" s="351"/>
      <c r="K784" s="484"/>
      <c r="L784" s="485"/>
      <c r="M784" s="486"/>
      <c r="N784" s="48"/>
    </row>
    <row r="785" spans="2:14" ht="21" customHeight="1" x14ac:dyDescent="0.25">
      <c r="B785" s="329">
        <v>10</v>
      </c>
      <c r="C785" s="476"/>
      <c r="D785" s="477"/>
      <c r="E785" s="478"/>
      <c r="F785" s="353"/>
      <c r="G785" s="353"/>
      <c r="H785" s="418"/>
      <c r="I785" s="419"/>
      <c r="J785" s="351"/>
      <c r="K785" s="484"/>
      <c r="L785" s="485"/>
      <c r="M785" s="486"/>
      <c r="N785" s="48"/>
    </row>
    <row r="786" spans="2:14" ht="21" customHeight="1" x14ac:dyDescent="0.25">
      <c r="B786" s="329">
        <v>11</v>
      </c>
      <c r="C786" s="476"/>
      <c r="D786" s="477"/>
      <c r="E786" s="478"/>
      <c r="F786" s="353"/>
      <c r="G786" s="353"/>
      <c r="H786" s="418"/>
      <c r="I786" s="419"/>
      <c r="J786" s="351"/>
      <c r="K786" s="484"/>
      <c r="L786" s="485"/>
      <c r="M786" s="486"/>
      <c r="N786" s="48"/>
    </row>
    <row r="787" spans="2:14" ht="21" customHeight="1" x14ac:dyDescent="0.25">
      <c r="B787" s="329">
        <v>12</v>
      </c>
      <c r="C787" s="476"/>
      <c r="D787" s="477"/>
      <c r="E787" s="478"/>
      <c r="F787" s="353"/>
      <c r="G787" s="353"/>
      <c r="H787" s="418"/>
      <c r="I787" s="419"/>
      <c r="J787" s="351"/>
      <c r="K787" s="484"/>
      <c r="L787" s="485"/>
      <c r="M787" s="486"/>
      <c r="N787" s="48"/>
    </row>
    <row r="788" spans="2:14" ht="21" customHeight="1" x14ac:dyDescent="0.25">
      <c r="B788" s="329">
        <v>13</v>
      </c>
      <c r="C788" s="476"/>
      <c r="D788" s="477"/>
      <c r="E788" s="478"/>
      <c r="F788" s="353"/>
      <c r="G788" s="353"/>
      <c r="H788" s="418"/>
      <c r="I788" s="419"/>
      <c r="J788" s="351"/>
      <c r="K788" s="484"/>
      <c r="L788" s="485"/>
      <c r="M788" s="486"/>
      <c r="N788" s="48"/>
    </row>
    <row r="789" spans="2:14" ht="21" customHeight="1" x14ac:dyDescent="0.25">
      <c r="B789" s="329">
        <v>14</v>
      </c>
      <c r="C789" s="476"/>
      <c r="D789" s="477"/>
      <c r="E789" s="478"/>
      <c r="F789" s="353"/>
      <c r="G789" s="353"/>
      <c r="H789" s="418"/>
      <c r="I789" s="419"/>
      <c r="J789" s="351"/>
      <c r="K789" s="484"/>
      <c r="L789" s="485"/>
      <c r="M789" s="486"/>
      <c r="N789" s="48"/>
    </row>
    <row r="790" spans="2:14" ht="21" customHeight="1" x14ac:dyDescent="0.25">
      <c r="B790" s="329">
        <v>15</v>
      </c>
      <c r="C790" s="476"/>
      <c r="D790" s="477"/>
      <c r="E790" s="478"/>
      <c r="F790" s="353"/>
      <c r="G790" s="353"/>
      <c r="H790" s="418"/>
      <c r="I790" s="419"/>
      <c r="J790" s="351"/>
      <c r="K790" s="484"/>
      <c r="L790" s="485"/>
      <c r="M790" s="486"/>
      <c r="N790" s="48"/>
    </row>
    <row r="791" spans="2:14" ht="21" customHeight="1" x14ac:dyDescent="0.25">
      <c r="B791" s="329">
        <v>16</v>
      </c>
      <c r="C791" s="476"/>
      <c r="D791" s="477"/>
      <c r="E791" s="478"/>
      <c r="F791" s="353"/>
      <c r="G791" s="353"/>
      <c r="H791" s="418"/>
      <c r="I791" s="419"/>
      <c r="J791" s="351"/>
      <c r="K791" s="484"/>
      <c r="L791" s="485"/>
      <c r="M791" s="486"/>
      <c r="N791" s="48"/>
    </row>
    <row r="792" spans="2:14" ht="21" customHeight="1" x14ac:dyDescent="0.25">
      <c r="B792" s="329">
        <v>17</v>
      </c>
      <c r="C792" s="476"/>
      <c r="D792" s="477"/>
      <c r="E792" s="478"/>
      <c r="F792" s="353"/>
      <c r="G792" s="353"/>
      <c r="H792" s="418"/>
      <c r="I792" s="419"/>
      <c r="J792" s="351"/>
      <c r="K792" s="484"/>
      <c r="L792" s="485"/>
      <c r="M792" s="486"/>
      <c r="N792" s="48"/>
    </row>
    <row r="793" spans="2:14" ht="21" customHeight="1" x14ac:dyDescent="0.25">
      <c r="B793" s="329">
        <v>18</v>
      </c>
      <c r="C793" s="476"/>
      <c r="D793" s="477"/>
      <c r="E793" s="478"/>
      <c r="F793" s="353"/>
      <c r="G793" s="353"/>
      <c r="H793" s="418"/>
      <c r="I793" s="419"/>
      <c r="J793" s="351"/>
      <c r="K793" s="484"/>
      <c r="L793" s="485"/>
      <c r="M793" s="486"/>
      <c r="N793" s="48"/>
    </row>
    <row r="794" spans="2:14" ht="21" customHeight="1" x14ac:dyDescent="0.25">
      <c r="B794" s="329">
        <v>19</v>
      </c>
      <c r="C794" s="476"/>
      <c r="D794" s="477"/>
      <c r="E794" s="478"/>
      <c r="F794" s="353"/>
      <c r="G794" s="353"/>
      <c r="H794" s="418"/>
      <c r="I794" s="419"/>
      <c r="J794" s="351"/>
      <c r="K794" s="484"/>
      <c r="L794" s="485"/>
      <c r="M794" s="486"/>
      <c r="N794" s="48"/>
    </row>
    <row r="795" spans="2:14" ht="21" customHeight="1" x14ac:dyDescent="0.25">
      <c r="B795" s="329">
        <v>20</v>
      </c>
      <c r="C795" s="476"/>
      <c r="D795" s="477"/>
      <c r="E795" s="478"/>
      <c r="F795" s="353"/>
      <c r="G795" s="353"/>
      <c r="H795" s="418"/>
      <c r="I795" s="419"/>
      <c r="J795" s="351"/>
      <c r="K795" s="484"/>
      <c r="L795" s="485"/>
      <c r="M795" s="486"/>
      <c r="N795" s="48"/>
    </row>
    <row r="796" spans="2:14" ht="21" customHeight="1" x14ac:dyDescent="0.25">
      <c r="B796" s="329">
        <v>21</v>
      </c>
      <c r="C796" s="476"/>
      <c r="D796" s="477"/>
      <c r="E796" s="478"/>
      <c r="F796" s="353"/>
      <c r="G796" s="353"/>
      <c r="H796" s="418"/>
      <c r="I796" s="419"/>
      <c r="J796" s="351"/>
      <c r="K796" s="484"/>
      <c r="L796" s="485"/>
      <c r="M796" s="486"/>
      <c r="N796" s="48"/>
    </row>
    <row r="797" spans="2:14" ht="21" customHeight="1" x14ac:dyDescent="0.25">
      <c r="B797" s="329">
        <v>22</v>
      </c>
      <c r="C797" s="476"/>
      <c r="D797" s="477"/>
      <c r="E797" s="478"/>
      <c r="F797" s="353"/>
      <c r="G797" s="353"/>
      <c r="H797" s="418"/>
      <c r="I797" s="419"/>
      <c r="J797" s="351"/>
      <c r="K797" s="484"/>
      <c r="L797" s="485"/>
      <c r="M797" s="486"/>
      <c r="N797" s="48"/>
    </row>
    <row r="798" spans="2:14" ht="21" customHeight="1" x14ac:dyDescent="0.25">
      <c r="B798" s="329">
        <v>23</v>
      </c>
      <c r="C798" s="476"/>
      <c r="D798" s="477"/>
      <c r="E798" s="478"/>
      <c r="F798" s="353"/>
      <c r="G798" s="353"/>
      <c r="H798" s="418"/>
      <c r="I798" s="419"/>
      <c r="J798" s="351"/>
      <c r="K798" s="484"/>
      <c r="L798" s="485"/>
      <c r="M798" s="486"/>
      <c r="N798" s="48"/>
    </row>
    <row r="799" spans="2:14" ht="21" customHeight="1" x14ac:dyDescent="0.25">
      <c r="B799" s="329">
        <v>24</v>
      </c>
      <c r="C799" s="476"/>
      <c r="D799" s="477"/>
      <c r="E799" s="478"/>
      <c r="F799" s="353"/>
      <c r="G799" s="353"/>
      <c r="H799" s="418"/>
      <c r="I799" s="419"/>
      <c r="J799" s="351"/>
      <c r="K799" s="484"/>
      <c r="L799" s="485"/>
      <c r="M799" s="486"/>
      <c r="N799" s="48"/>
    </row>
    <row r="800" spans="2:14" ht="21" customHeight="1" x14ac:dyDescent="0.25">
      <c r="B800" s="329">
        <v>25</v>
      </c>
      <c r="C800" s="476"/>
      <c r="D800" s="477"/>
      <c r="E800" s="478"/>
      <c r="F800" s="353"/>
      <c r="G800" s="353"/>
      <c r="H800" s="418"/>
      <c r="I800" s="419"/>
      <c r="J800" s="351"/>
      <c r="K800" s="484"/>
      <c r="L800" s="485"/>
      <c r="M800" s="486"/>
      <c r="N800" s="48"/>
    </row>
    <row r="801" spans="2:14" ht="21" customHeight="1" x14ac:dyDescent="0.25">
      <c r="B801" s="329">
        <v>26</v>
      </c>
      <c r="C801" s="476"/>
      <c r="D801" s="477"/>
      <c r="E801" s="478"/>
      <c r="F801" s="353"/>
      <c r="G801" s="353"/>
      <c r="H801" s="418"/>
      <c r="I801" s="419"/>
      <c r="J801" s="351"/>
      <c r="K801" s="484"/>
      <c r="L801" s="485"/>
      <c r="M801" s="486"/>
      <c r="N801" s="48"/>
    </row>
    <row r="802" spans="2:14" ht="21" customHeight="1" x14ac:dyDescent="0.25">
      <c r="B802" s="329">
        <v>27</v>
      </c>
      <c r="C802" s="476"/>
      <c r="D802" s="477"/>
      <c r="E802" s="478"/>
      <c r="F802" s="353"/>
      <c r="G802" s="353"/>
      <c r="H802" s="418"/>
      <c r="I802" s="419"/>
      <c r="J802" s="351"/>
      <c r="K802" s="484"/>
      <c r="L802" s="485"/>
      <c r="M802" s="486"/>
      <c r="N802" s="48"/>
    </row>
    <row r="803" spans="2:14" ht="21" customHeight="1" x14ac:dyDescent="0.25">
      <c r="B803" s="329">
        <v>28</v>
      </c>
      <c r="C803" s="476"/>
      <c r="D803" s="477"/>
      <c r="E803" s="478"/>
      <c r="F803" s="353"/>
      <c r="G803" s="353"/>
      <c r="H803" s="418"/>
      <c r="I803" s="419"/>
      <c r="J803" s="351"/>
      <c r="K803" s="484"/>
      <c r="L803" s="485"/>
      <c r="M803" s="486"/>
      <c r="N803" s="48"/>
    </row>
    <row r="804" spans="2:14" ht="21" customHeight="1" x14ac:dyDescent="0.25">
      <c r="B804" s="329">
        <v>29</v>
      </c>
      <c r="C804" s="476"/>
      <c r="D804" s="477"/>
      <c r="E804" s="478"/>
      <c r="F804" s="353"/>
      <c r="G804" s="353"/>
      <c r="H804" s="418"/>
      <c r="I804" s="419"/>
      <c r="J804" s="351"/>
      <c r="K804" s="484"/>
      <c r="L804" s="485"/>
      <c r="M804" s="486"/>
      <c r="N804" s="48"/>
    </row>
    <row r="805" spans="2:14" ht="21" customHeight="1" x14ac:dyDescent="0.25">
      <c r="B805" s="329">
        <v>30</v>
      </c>
      <c r="C805" s="476"/>
      <c r="D805" s="477"/>
      <c r="E805" s="478"/>
      <c r="F805" s="353"/>
      <c r="G805" s="353"/>
      <c r="H805" s="418"/>
      <c r="I805" s="419"/>
      <c r="J805" s="351"/>
      <c r="K805" s="484"/>
      <c r="L805" s="485"/>
      <c r="M805" s="486"/>
      <c r="N805" s="48"/>
    </row>
    <row r="806" spans="2:14" ht="21" customHeight="1" x14ac:dyDescent="0.25">
      <c r="B806" s="329">
        <v>31</v>
      </c>
      <c r="C806" s="476"/>
      <c r="D806" s="477"/>
      <c r="E806" s="478"/>
      <c r="F806" s="353"/>
      <c r="G806" s="353"/>
      <c r="H806" s="418"/>
      <c r="I806" s="419"/>
      <c r="J806" s="351"/>
      <c r="K806" s="484"/>
      <c r="L806" s="485"/>
      <c r="M806" s="486"/>
      <c r="N806" s="48"/>
    </row>
    <row r="807" spans="2:14" ht="21" customHeight="1" x14ac:dyDescent="0.25">
      <c r="B807" s="329">
        <v>32</v>
      </c>
      <c r="C807" s="476"/>
      <c r="D807" s="477"/>
      <c r="E807" s="478"/>
      <c r="F807" s="353"/>
      <c r="G807" s="353"/>
      <c r="H807" s="418"/>
      <c r="I807" s="419"/>
      <c r="J807" s="351"/>
      <c r="K807" s="484"/>
      <c r="L807" s="485"/>
      <c r="M807" s="486"/>
      <c r="N807" s="48"/>
    </row>
    <row r="808" spans="2:14" ht="21" customHeight="1" x14ac:dyDescent="0.25">
      <c r="B808" s="329">
        <v>33</v>
      </c>
      <c r="C808" s="476"/>
      <c r="D808" s="477"/>
      <c r="E808" s="478"/>
      <c r="F808" s="353"/>
      <c r="G808" s="353"/>
      <c r="H808" s="418"/>
      <c r="I808" s="419"/>
      <c r="J808" s="351"/>
      <c r="K808" s="484"/>
      <c r="L808" s="485"/>
      <c r="M808" s="486"/>
      <c r="N808" s="48"/>
    </row>
    <row r="809" spans="2:14" ht="21" customHeight="1" x14ac:dyDescent="0.25">
      <c r="B809" s="329">
        <v>34</v>
      </c>
      <c r="C809" s="476"/>
      <c r="D809" s="477"/>
      <c r="E809" s="478"/>
      <c r="F809" s="353"/>
      <c r="G809" s="353"/>
      <c r="H809" s="418"/>
      <c r="I809" s="419"/>
      <c r="J809" s="351"/>
      <c r="K809" s="484"/>
      <c r="L809" s="485"/>
      <c r="M809" s="486"/>
      <c r="N809" s="48"/>
    </row>
    <row r="810" spans="2:14" ht="21" customHeight="1" x14ac:dyDescent="0.25">
      <c r="B810" s="329">
        <v>35</v>
      </c>
      <c r="C810" s="476"/>
      <c r="D810" s="477"/>
      <c r="E810" s="478"/>
      <c r="F810" s="353"/>
      <c r="G810" s="353"/>
      <c r="H810" s="418"/>
      <c r="I810" s="419"/>
      <c r="J810" s="351"/>
      <c r="K810" s="484"/>
      <c r="L810" s="485"/>
      <c r="M810" s="486"/>
      <c r="N810" s="48"/>
    </row>
    <row r="811" spans="2:14" ht="21" customHeight="1" x14ac:dyDescent="0.25">
      <c r="B811" s="329">
        <v>36</v>
      </c>
      <c r="C811" s="476"/>
      <c r="D811" s="477"/>
      <c r="E811" s="478"/>
      <c r="F811" s="353"/>
      <c r="G811" s="353"/>
      <c r="H811" s="418"/>
      <c r="I811" s="419"/>
      <c r="J811" s="351"/>
      <c r="K811" s="484"/>
      <c r="L811" s="485"/>
      <c r="M811" s="486"/>
      <c r="N811" s="48"/>
    </row>
    <row r="812" spans="2:14" ht="21" customHeight="1" x14ac:dyDescent="0.25">
      <c r="B812" s="329">
        <v>37</v>
      </c>
      <c r="C812" s="476"/>
      <c r="D812" s="477"/>
      <c r="E812" s="478"/>
      <c r="F812" s="353"/>
      <c r="G812" s="353"/>
      <c r="H812" s="418"/>
      <c r="I812" s="419"/>
      <c r="J812" s="351"/>
      <c r="K812" s="484"/>
      <c r="L812" s="485"/>
      <c r="M812" s="486"/>
      <c r="N812" s="48"/>
    </row>
    <row r="813" spans="2:14" ht="21" customHeight="1" x14ac:dyDescent="0.25">
      <c r="B813" s="329">
        <v>38</v>
      </c>
      <c r="C813" s="476"/>
      <c r="D813" s="477"/>
      <c r="E813" s="478"/>
      <c r="F813" s="353"/>
      <c r="G813" s="353"/>
      <c r="H813" s="418"/>
      <c r="I813" s="419"/>
      <c r="J813" s="351"/>
      <c r="K813" s="484"/>
      <c r="L813" s="485"/>
      <c r="M813" s="486"/>
      <c r="N813" s="48"/>
    </row>
    <row r="814" spans="2:14" ht="21" customHeight="1" x14ac:dyDescent="0.25">
      <c r="B814" s="329">
        <v>39</v>
      </c>
      <c r="C814" s="476"/>
      <c r="D814" s="477"/>
      <c r="E814" s="478"/>
      <c r="F814" s="353"/>
      <c r="G814" s="353"/>
      <c r="H814" s="418"/>
      <c r="I814" s="419"/>
      <c r="J814" s="351"/>
      <c r="K814" s="484"/>
      <c r="L814" s="485"/>
      <c r="M814" s="486"/>
      <c r="N814" s="48"/>
    </row>
    <row r="815" spans="2:14" ht="21" customHeight="1" x14ac:dyDescent="0.25">
      <c r="B815" s="329">
        <v>40</v>
      </c>
      <c r="C815" s="476"/>
      <c r="D815" s="477"/>
      <c r="E815" s="478"/>
      <c r="F815" s="353"/>
      <c r="G815" s="353"/>
      <c r="H815" s="418"/>
      <c r="I815" s="419"/>
      <c r="J815" s="351"/>
      <c r="K815" s="484"/>
      <c r="L815" s="485"/>
      <c r="M815" s="486"/>
      <c r="N815" s="48"/>
    </row>
    <row r="816" spans="2:14" ht="6.75" customHeight="1" thickBot="1" x14ac:dyDescent="0.3">
      <c r="B816" s="83"/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60"/>
    </row>
    <row r="817" spans="2:14" ht="6.75" customHeight="1" x14ac:dyDescent="0.25">
      <c r="B817" s="78"/>
      <c r="C817" s="78"/>
      <c r="D817" s="78"/>
      <c r="E817" s="78"/>
      <c r="F817" s="78"/>
      <c r="G817" s="78"/>
      <c r="H817" s="78"/>
      <c r="I817" s="78"/>
      <c r="J817" s="78"/>
      <c r="K817" s="78"/>
      <c r="L817" s="78"/>
      <c r="M817" s="78"/>
      <c r="N817" s="78"/>
    </row>
    <row r="818" spans="2:14" ht="4.5" customHeight="1" thickBot="1" x14ac:dyDescent="0.3"/>
    <row r="819" spans="2:14" ht="4.5" customHeight="1" thickBot="1" x14ac:dyDescent="0.3">
      <c r="B819" s="438"/>
      <c r="C819" s="78"/>
      <c r="D819" s="78"/>
      <c r="E819" s="78"/>
      <c r="F819" s="78"/>
      <c r="G819" s="78"/>
      <c r="H819" s="78"/>
      <c r="I819" s="78"/>
      <c r="J819" s="78"/>
      <c r="K819" s="78"/>
      <c r="L819" s="78"/>
      <c r="M819" s="78"/>
      <c r="N819" s="79"/>
    </row>
    <row r="820" spans="2:14" s="6" customFormat="1" ht="30" customHeight="1" thickBot="1" x14ac:dyDescent="0.3">
      <c r="B820" s="41" t="s">
        <v>131</v>
      </c>
      <c r="C820" s="165" t="s">
        <v>783</v>
      </c>
      <c r="D820" s="166"/>
      <c r="E820" s="166"/>
      <c r="F820" s="166"/>
      <c r="G820" s="166"/>
      <c r="H820" s="166"/>
      <c r="I820" s="166"/>
      <c r="J820" s="166"/>
      <c r="K820" s="166"/>
      <c r="L820" s="166"/>
      <c r="M820" s="167"/>
      <c r="N820" s="42"/>
    </row>
    <row r="821" spans="2:14" s="35" customFormat="1" ht="6.75" customHeight="1" thickBot="1" x14ac:dyDescent="0.3">
      <c r="B821" s="43"/>
      <c r="C821" s="66"/>
      <c r="D821" s="44"/>
      <c r="E821" s="44"/>
      <c r="F821" s="44"/>
      <c r="G821" s="44"/>
      <c r="H821" s="44"/>
      <c r="I821" s="44"/>
      <c r="J821" s="44"/>
      <c r="K821" s="44"/>
      <c r="L821" s="44"/>
      <c r="M821" s="44"/>
      <c r="N821" s="45"/>
    </row>
    <row r="822" spans="2:14" s="9" customFormat="1" ht="23.25" customHeight="1" thickBot="1" x14ac:dyDescent="0.3">
      <c r="B822" s="224" t="s">
        <v>753</v>
      </c>
      <c r="C822" s="220" t="s">
        <v>634</v>
      </c>
      <c r="D822" s="221"/>
      <c r="E822" s="221"/>
      <c r="F822" s="221"/>
      <c r="G822" s="221"/>
      <c r="H822" s="221"/>
      <c r="I822" s="222"/>
      <c r="J822" s="222"/>
      <c r="K822" s="222"/>
      <c r="L822" s="222"/>
      <c r="M822" s="223"/>
      <c r="N822" s="40"/>
    </row>
    <row r="823" spans="2:14" s="35" customFormat="1" ht="6.75" customHeight="1" x14ac:dyDescent="0.25">
      <c r="B823" s="43"/>
      <c r="C823" s="66"/>
      <c r="D823" s="44"/>
      <c r="E823" s="44"/>
      <c r="F823" s="44"/>
      <c r="G823" s="44"/>
      <c r="H823" s="44"/>
      <c r="I823" s="44"/>
      <c r="J823" s="44"/>
      <c r="K823" s="44"/>
      <c r="L823" s="44"/>
      <c r="M823" s="44"/>
      <c r="N823" s="45"/>
    </row>
    <row r="824" spans="2:14" ht="33" customHeight="1" x14ac:dyDescent="0.25">
      <c r="B824" s="103"/>
      <c r="C824" s="481" t="s">
        <v>12</v>
      </c>
      <c r="D824" s="482"/>
      <c r="E824" s="483"/>
      <c r="F824" s="326" t="s">
        <v>11</v>
      </c>
      <c r="G824" s="82" t="s">
        <v>227</v>
      </c>
      <c r="H824" s="82" t="s">
        <v>630</v>
      </c>
      <c r="I824" s="355" t="s">
        <v>13</v>
      </c>
      <c r="J824" s="327"/>
      <c r="K824" s="327"/>
      <c r="L824" s="327"/>
      <c r="M824" s="328"/>
      <c r="N824" s="48"/>
    </row>
    <row r="825" spans="2:14" ht="50.25" customHeight="1" x14ac:dyDescent="0.25">
      <c r="B825" s="103">
        <v>1</v>
      </c>
      <c r="C825" s="479" t="s">
        <v>27</v>
      </c>
      <c r="D825" s="480"/>
      <c r="E825" s="462"/>
      <c r="F825" s="354" t="s">
        <v>641</v>
      </c>
      <c r="G825" s="342"/>
      <c r="H825" s="80" t="str">
        <f ca="1">IF(G825="","",OFFSET(DATA!$J$3,MATCH(PSP!B825,risk_question_numbers,0)-1,MATCH(G825,risk_answers,0)-1))</f>
        <v/>
      </c>
      <c r="I825" s="575"/>
      <c r="J825" s="576"/>
      <c r="K825" s="576"/>
      <c r="L825" s="576"/>
      <c r="M825" s="577"/>
      <c r="N825" s="48"/>
    </row>
    <row r="826" spans="2:14" ht="50.25" customHeight="1" x14ac:dyDescent="0.25">
      <c r="B826" s="329">
        <v>2</v>
      </c>
      <c r="C826" s="479" t="s">
        <v>15</v>
      </c>
      <c r="D826" s="480"/>
      <c r="E826" s="462"/>
      <c r="F826" s="354" t="s">
        <v>641</v>
      </c>
      <c r="G826" s="342"/>
      <c r="H826" s="80" t="str">
        <f ca="1">IF(G826="","",OFFSET(DATA!$J$3,MATCH(PSP!B826,risk_question_numbers,0)-1,MATCH(G826,risk_answers,0)-1))</f>
        <v/>
      </c>
      <c r="I826" s="575"/>
      <c r="J826" s="576"/>
      <c r="K826" s="576"/>
      <c r="L826" s="576"/>
      <c r="M826" s="577"/>
      <c r="N826" s="48"/>
    </row>
    <row r="827" spans="2:14" ht="50.25" customHeight="1" x14ac:dyDescent="0.25">
      <c r="B827" s="329">
        <v>3</v>
      </c>
      <c r="C827" s="479" t="s">
        <v>232</v>
      </c>
      <c r="D827" s="480"/>
      <c r="E827" s="462"/>
      <c r="F827" s="354" t="s">
        <v>641</v>
      </c>
      <c r="G827" s="342"/>
      <c r="H827" s="80" t="str">
        <f ca="1">IF(G827="","",OFFSET(DATA!$J$3,MATCH(PSP!B827,risk_question_numbers,0)-1,MATCH(G827,risk_answers,0)-1))</f>
        <v/>
      </c>
      <c r="I827" s="575"/>
      <c r="J827" s="576"/>
      <c r="K827" s="576"/>
      <c r="L827" s="576"/>
      <c r="M827" s="577"/>
      <c r="N827" s="48"/>
    </row>
    <row r="828" spans="2:14" ht="50.25" customHeight="1" x14ac:dyDescent="0.25">
      <c r="B828" s="329">
        <v>4</v>
      </c>
      <c r="C828" s="479" t="s">
        <v>228</v>
      </c>
      <c r="D828" s="480"/>
      <c r="E828" s="462"/>
      <c r="F828" s="354" t="s">
        <v>641</v>
      </c>
      <c r="G828" s="342"/>
      <c r="H828" s="80" t="str">
        <f ca="1">IF(G828="","",OFFSET(DATA!$J$3,MATCH(PSP!B828,risk_question_numbers,0)-1,MATCH(G828,risk_answers,0)-1))</f>
        <v/>
      </c>
      <c r="I828" s="575"/>
      <c r="J828" s="576"/>
      <c r="K828" s="576"/>
      <c r="L828" s="576"/>
      <c r="M828" s="577"/>
      <c r="N828" s="48"/>
    </row>
    <row r="829" spans="2:14" ht="50.25" customHeight="1" x14ac:dyDescent="0.25">
      <c r="B829" s="329">
        <v>5</v>
      </c>
      <c r="C829" s="479" t="s">
        <v>16</v>
      </c>
      <c r="D829" s="480"/>
      <c r="E829" s="462"/>
      <c r="F829" s="354" t="s">
        <v>641</v>
      </c>
      <c r="G829" s="342"/>
      <c r="H829" s="80" t="str">
        <f ca="1">IF(G829="","",OFFSET(DATA!$J$3,MATCH(PSP!B829,risk_question_numbers,0)-1,MATCH(G829,risk_answers,0)-1))</f>
        <v/>
      </c>
      <c r="I829" s="575"/>
      <c r="J829" s="576"/>
      <c r="K829" s="576"/>
      <c r="L829" s="576"/>
      <c r="M829" s="577"/>
      <c r="N829" s="48"/>
    </row>
    <row r="830" spans="2:14" ht="50.25" customHeight="1" x14ac:dyDescent="0.25">
      <c r="B830" s="329">
        <v>6</v>
      </c>
      <c r="C830" s="479" t="s">
        <v>17</v>
      </c>
      <c r="D830" s="480"/>
      <c r="E830" s="462"/>
      <c r="F830" s="354" t="s">
        <v>641</v>
      </c>
      <c r="G830" s="342"/>
      <c r="H830" s="80" t="str">
        <f ca="1">IF(G830="","",OFFSET(DATA!$J$3,MATCH(PSP!B830,risk_question_numbers,0)-1,MATCH(G830,risk_answers,0)-1))</f>
        <v/>
      </c>
      <c r="I830" s="575"/>
      <c r="J830" s="576"/>
      <c r="K830" s="576"/>
      <c r="L830" s="576"/>
      <c r="M830" s="577"/>
      <c r="N830" s="48"/>
    </row>
    <row r="831" spans="2:14" ht="50.25" customHeight="1" x14ac:dyDescent="0.25">
      <c r="B831" s="329">
        <v>7</v>
      </c>
      <c r="C831" s="479" t="s">
        <v>643</v>
      </c>
      <c r="D831" s="480"/>
      <c r="E831" s="462"/>
      <c r="F831" s="354" t="s">
        <v>641</v>
      </c>
      <c r="G831" s="342"/>
      <c r="H831" s="80" t="str">
        <f ca="1">IF(G831="","",OFFSET(DATA!$J$3,MATCH(PSP!B831,risk_question_numbers,0)-1,MATCH(G831,risk_answers,0)-1))</f>
        <v/>
      </c>
      <c r="I831" s="575"/>
      <c r="J831" s="576"/>
      <c r="K831" s="576"/>
      <c r="L831" s="576"/>
      <c r="M831" s="577"/>
      <c r="N831" s="48"/>
    </row>
    <row r="832" spans="2:14" ht="50.25" customHeight="1" x14ac:dyDescent="0.25">
      <c r="B832" s="329">
        <v>8</v>
      </c>
      <c r="C832" s="479" t="s">
        <v>632</v>
      </c>
      <c r="D832" s="480"/>
      <c r="E832" s="462"/>
      <c r="F832" s="354" t="s">
        <v>642</v>
      </c>
      <c r="G832" s="342"/>
      <c r="H832" s="80" t="str">
        <f ca="1">IF(G832="","",OFFSET(DATA!$J$3,MATCH(PSP!B832,risk_question_numbers,0)-1,MATCH(G832,risk_answers,0)-1))</f>
        <v/>
      </c>
      <c r="I832" s="575"/>
      <c r="J832" s="576"/>
      <c r="K832" s="576"/>
      <c r="L832" s="576"/>
      <c r="M832" s="577"/>
      <c r="N832" s="48"/>
    </row>
    <row r="833" spans="2:14" ht="50.25" customHeight="1" x14ac:dyDescent="0.25">
      <c r="B833" s="329">
        <v>9</v>
      </c>
      <c r="C833" s="479" t="s">
        <v>633</v>
      </c>
      <c r="D833" s="480"/>
      <c r="E833" s="462"/>
      <c r="F833" s="354" t="s">
        <v>642</v>
      </c>
      <c r="G833" s="342"/>
      <c r="H833" s="80" t="str">
        <f ca="1">IF(G833="","",OFFSET(DATA!$J$3,MATCH(PSP!B833,risk_question_numbers,0)-1,MATCH(G833,risk_answers,0)-1))</f>
        <v/>
      </c>
      <c r="I833" s="575"/>
      <c r="J833" s="576"/>
      <c r="K833" s="576"/>
      <c r="L833" s="576"/>
      <c r="M833" s="577"/>
      <c r="N833" s="48"/>
    </row>
    <row r="834" spans="2:14" ht="50.25" customHeight="1" x14ac:dyDescent="0.25">
      <c r="B834" s="329">
        <v>10</v>
      </c>
      <c r="C834" s="479" t="s">
        <v>631</v>
      </c>
      <c r="D834" s="480"/>
      <c r="E834" s="462"/>
      <c r="F834" s="354" t="s">
        <v>642</v>
      </c>
      <c r="G834" s="342"/>
      <c r="H834" s="80" t="str">
        <f ca="1">IF(G834="","",OFFSET(DATA!$J$3,MATCH(PSP!B834,risk_question_numbers,0)-1,MATCH(G834,risk_answers,0)-1))</f>
        <v/>
      </c>
      <c r="I834" s="575"/>
      <c r="J834" s="576"/>
      <c r="K834" s="576"/>
      <c r="L834" s="576"/>
      <c r="M834" s="577"/>
      <c r="N834" s="48"/>
    </row>
    <row r="835" spans="2:14" ht="50.25" customHeight="1" x14ac:dyDescent="0.25">
      <c r="B835" s="329">
        <v>11</v>
      </c>
      <c r="C835" s="479" t="s">
        <v>644</v>
      </c>
      <c r="D835" s="480"/>
      <c r="E835" s="462"/>
      <c r="F835" s="354" t="s">
        <v>642</v>
      </c>
      <c r="G835" s="342"/>
      <c r="H835" s="80" t="str">
        <f ca="1">IF(G835="","",OFFSET(DATA!$J$3,MATCH(PSP!B835,risk_question_numbers,0)-1,MATCH(G835,risk_answers,0)-1))</f>
        <v/>
      </c>
      <c r="I835" s="575"/>
      <c r="J835" s="576"/>
      <c r="K835" s="576"/>
      <c r="L835" s="576"/>
      <c r="M835" s="577"/>
      <c r="N835" s="48"/>
    </row>
    <row r="836" spans="2:14" ht="50.25" customHeight="1" x14ac:dyDescent="0.25">
      <c r="B836" s="329">
        <v>12</v>
      </c>
      <c r="C836" s="479" t="s">
        <v>20</v>
      </c>
      <c r="D836" s="480"/>
      <c r="E836" s="462"/>
      <c r="F836" s="354" t="s">
        <v>642</v>
      </c>
      <c r="G836" s="342"/>
      <c r="H836" s="80" t="str">
        <f ca="1">IF(G836="","",OFFSET(DATA!$J$3,MATCH(PSP!B836,risk_question_numbers,0)-1,MATCH(G836,risk_answers,0)-1))</f>
        <v/>
      </c>
      <c r="I836" s="575"/>
      <c r="J836" s="576"/>
      <c r="K836" s="576"/>
      <c r="L836" s="576"/>
      <c r="M836" s="577"/>
      <c r="N836" s="48"/>
    </row>
    <row r="837" spans="2:14" ht="50.25" customHeight="1" x14ac:dyDescent="0.25">
      <c r="B837" s="329">
        <v>13</v>
      </c>
      <c r="C837" s="479" t="s">
        <v>21</v>
      </c>
      <c r="D837" s="480"/>
      <c r="E837" s="462"/>
      <c r="F837" s="354" t="s">
        <v>642</v>
      </c>
      <c r="G837" s="342"/>
      <c r="H837" s="80" t="str">
        <f ca="1">IF(G837="","",OFFSET(DATA!$J$3,MATCH(PSP!B837,risk_question_numbers,0)-1,MATCH(G837,risk_answers,0)-1))</f>
        <v/>
      </c>
      <c r="I837" s="575"/>
      <c r="J837" s="576"/>
      <c r="K837" s="576"/>
      <c r="L837" s="576"/>
      <c r="M837" s="577"/>
      <c r="N837" s="48"/>
    </row>
    <row r="838" spans="2:14" ht="50.25" customHeight="1" x14ac:dyDescent="0.25">
      <c r="B838" s="329">
        <v>14</v>
      </c>
      <c r="C838" s="479" t="s">
        <v>22</v>
      </c>
      <c r="D838" s="480"/>
      <c r="E838" s="462"/>
      <c r="F838" s="354" t="s">
        <v>645</v>
      </c>
      <c r="G838" s="342"/>
      <c r="H838" s="80" t="str">
        <f ca="1">IF(G838="","",OFFSET(DATA!$J$3,MATCH(PSP!B838,risk_question_numbers,0)-1,MATCH(G838,risk_answers,0)-1))</f>
        <v/>
      </c>
      <c r="I838" s="575"/>
      <c r="J838" s="576"/>
      <c r="K838" s="576"/>
      <c r="L838" s="576"/>
      <c r="M838" s="577"/>
      <c r="N838" s="48"/>
    </row>
    <row r="839" spans="2:14" ht="50.25" customHeight="1" x14ac:dyDescent="0.25">
      <c r="B839" s="329">
        <v>15</v>
      </c>
      <c r="C839" s="479" t="s">
        <v>229</v>
      </c>
      <c r="D839" s="480"/>
      <c r="E839" s="462"/>
      <c r="F839" s="354" t="s">
        <v>645</v>
      </c>
      <c r="G839" s="342"/>
      <c r="H839" s="80" t="str">
        <f ca="1">IF(G839="","",OFFSET(DATA!$J$3,MATCH(PSP!B839,risk_question_numbers,0)-1,MATCH(G839,risk_answers,0)-1))</f>
        <v/>
      </c>
      <c r="I839" s="575"/>
      <c r="J839" s="576"/>
      <c r="K839" s="576"/>
      <c r="L839" s="576"/>
      <c r="M839" s="577"/>
      <c r="N839" s="48"/>
    </row>
    <row r="840" spans="2:14" ht="50.25" customHeight="1" x14ac:dyDescent="0.25">
      <c r="B840" s="329">
        <v>16</v>
      </c>
      <c r="C840" s="479" t="s">
        <v>230</v>
      </c>
      <c r="D840" s="480"/>
      <c r="E840" s="462"/>
      <c r="F840" s="354" t="s">
        <v>26</v>
      </c>
      <c r="G840" s="342"/>
      <c r="H840" s="80" t="str">
        <f ca="1">IF(G840="","",OFFSET(DATA!$J$3,MATCH(PSP!B840,risk_question_numbers,0)-1,MATCH(G840,risk_answers,0)-1))</f>
        <v/>
      </c>
      <c r="I840" s="575"/>
      <c r="J840" s="576"/>
      <c r="K840" s="576"/>
      <c r="L840" s="576"/>
      <c r="M840" s="577"/>
      <c r="N840" s="48"/>
    </row>
    <row r="841" spans="2:14" ht="50.25" customHeight="1" x14ac:dyDescent="0.25">
      <c r="B841" s="329">
        <v>17</v>
      </c>
      <c r="C841" s="479" t="s">
        <v>637</v>
      </c>
      <c r="D841" s="480"/>
      <c r="E841" s="462"/>
      <c r="F841" s="354" t="s">
        <v>26</v>
      </c>
      <c r="G841" s="342"/>
      <c r="H841" s="80" t="str">
        <f ca="1">IF(G841="","",OFFSET(DATA!$J$3,MATCH(PSP!B841,risk_question_numbers,0)-1,MATCH(G841,risk_answers,0)-1))</f>
        <v/>
      </c>
      <c r="I841" s="575"/>
      <c r="J841" s="576"/>
      <c r="K841" s="576"/>
      <c r="L841" s="576"/>
      <c r="M841" s="577"/>
      <c r="N841" s="48"/>
    </row>
    <row r="842" spans="2:14" ht="50.25" customHeight="1" x14ac:dyDescent="0.25">
      <c r="B842" s="329">
        <v>18</v>
      </c>
      <c r="C842" s="479" t="s">
        <v>638</v>
      </c>
      <c r="D842" s="480"/>
      <c r="E842" s="462"/>
      <c r="F842" s="354" t="s">
        <v>26</v>
      </c>
      <c r="G842" s="342"/>
      <c r="H842" s="80" t="str">
        <f ca="1">IF(G842="","",OFFSET(DATA!$J$3,MATCH(PSP!B842,risk_question_numbers,0)-1,MATCH(G842,risk_answers,0)-1))</f>
        <v/>
      </c>
      <c r="I842" s="575"/>
      <c r="J842" s="576"/>
      <c r="K842" s="576"/>
      <c r="L842" s="576"/>
      <c r="M842" s="577"/>
      <c r="N842" s="48"/>
    </row>
    <row r="843" spans="2:14" ht="50.25" customHeight="1" x14ac:dyDescent="0.25">
      <c r="B843" s="329">
        <v>19</v>
      </c>
      <c r="C843" s="479" t="s">
        <v>23</v>
      </c>
      <c r="D843" s="480"/>
      <c r="E843" s="462"/>
      <c r="F843" s="354" t="s">
        <v>646</v>
      </c>
      <c r="G843" s="342" t="s">
        <v>635</v>
      </c>
      <c r="H843" s="80">
        <f ca="1">IF(G843="","",OFFSET(DATA!$J$3,MATCH(PSP!B843,risk_question_numbers,0)-1,MATCH(G843,risk_answers,0)-1))</f>
        <v>3</v>
      </c>
      <c r="I843" s="575"/>
      <c r="J843" s="576"/>
      <c r="K843" s="576"/>
      <c r="L843" s="576"/>
      <c r="M843" s="577"/>
      <c r="N843" s="48"/>
    </row>
    <row r="844" spans="2:14" ht="50.25" customHeight="1" x14ac:dyDescent="0.25">
      <c r="B844" s="329">
        <v>20</v>
      </c>
      <c r="C844" s="479" t="s">
        <v>640</v>
      </c>
      <c r="D844" s="480"/>
      <c r="E844" s="462"/>
      <c r="F844" s="354" t="s">
        <v>646</v>
      </c>
      <c r="G844" s="342"/>
      <c r="H844" s="80" t="str">
        <f ca="1">IF(G844="","",OFFSET(DATA!$J$3,MATCH(PSP!B844,risk_question_numbers,0)-1,MATCH(G844,risk_answers,0)-1))</f>
        <v/>
      </c>
      <c r="I844" s="575"/>
      <c r="J844" s="576"/>
      <c r="K844" s="576"/>
      <c r="L844" s="576"/>
      <c r="M844" s="577"/>
      <c r="N844" s="48"/>
    </row>
    <row r="845" spans="2:14" ht="50.25" customHeight="1" x14ac:dyDescent="0.25">
      <c r="B845" s="329">
        <v>21</v>
      </c>
      <c r="C845" s="479" t="s">
        <v>24</v>
      </c>
      <c r="D845" s="480"/>
      <c r="E845" s="462"/>
      <c r="F845" s="354" t="s">
        <v>646</v>
      </c>
      <c r="G845" s="342"/>
      <c r="H845" s="80" t="str">
        <f ca="1">IF(G845="","",OFFSET(DATA!$J$3,MATCH(PSP!B845,risk_question_numbers,0)-1,MATCH(G845,risk_answers,0)-1))</f>
        <v/>
      </c>
      <c r="I845" s="575"/>
      <c r="J845" s="576"/>
      <c r="K845" s="576"/>
      <c r="L845" s="576"/>
      <c r="M845" s="577"/>
      <c r="N845" s="48"/>
    </row>
    <row r="846" spans="2:14" ht="50.25" customHeight="1" x14ac:dyDescent="0.25">
      <c r="B846" s="329">
        <v>22</v>
      </c>
      <c r="C846" s="479" t="s">
        <v>25</v>
      </c>
      <c r="D846" s="480"/>
      <c r="E846" s="462"/>
      <c r="F846" s="354" t="s">
        <v>646</v>
      </c>
      <c r="G846" s="342"/>
      <c r="H846" s="80" t="str">
        <f ca="1">IF(G846="","",OFFSET(DATA!$J$3,MATCH(PSP!B846,risk_question_numbers,0)-1,MATCH(G846,risk_answers,0)-1))</f>
        <v/>
      </c>
      <c r="I846" s="575"/>
      <c r="J846" s="576"/>
      <c r="K846" s="576"/>
      <c r="L846" s="576"/>
      <c r="M846" s="577"/>
      <c r="N846" s="48"/>
    </row>
    <row r="847" spans="2:14" ht="50.25" customHeight="1" x14ac:dyDescent="0.25">
      <c r="B847" s="329">
        <v>23</v>
      </c>
      <c r="C847" s="479" t="s">
        <v>18</v>
      </c>
      <c r="D847" s="480"/>
      <c r="E847" s="462"/>
      <c r="F847" s="354" t="s">
        <v>19</v>
      </c>
      <c r="G847" s="342"/>
      <c r="H847" s="80" t="str">
        <f ca="1">IF(G847="","",OFFSET(DATA!$J$3,MATCH(PSP!B847,risk_question_numbers,0)-1,MATCH(G847,risk_answers,0)-1))</f>
        <v/>
      </c>
      <c r="I847" s="575"/>
      <c r="J847" s="576"/>
      <c r="K847" s="576"/>
      <c r="L847" s="576"/>
      <c r="M847" s="577"/>
      <c r="N847" s="48"/>
    </row>
    <row r="848" spans="2:14" ht="50.25" customHeight="1" x14ac:dyDescent="0.25">
      <c r="B848" s="329">
        <v>24</v>
      </c>
      <c r="C848" s="479" t="s">
        <v>231</v>
      </c>
      <c r="D848" s="480"/>
      <c r="E848" s="462"/>
      <c r="F848" s="354" t="s">
        <v>19</v>
      </c>
      <c r="G848" s="342"/>
      <c r="H848" s="80" t="str">
        <f ca="1">IF(G848="","",OFFSET(DATA!$J$3,MATCH(PSP!B848,risk_question_numbers,0)-1,MATCH(G848,risk_answers,0)-1))</f>
        <v/>
      </c>
      <c r="I848" s="575"/>
      <c r="J848" s="576"/>
      <c r="K848" s="576"/>
      <c r="L848" s="576"/>
      <c r="M848" s="577"/>
      <c r="N848" s="48"/>
    </row>
    <row r="849" spans="2:14" s="35" customFormat="1" ht="6.75" customHeight="1" x14ac:dyDescent="0.25">
      <c r="B849" s="43"/>
      <c r="C849" s="66"/>
      <c r="D849" s="44"/>
      <c r="E849" s="44"/>
      <c r="F849" s="44"/>
      <c r="G849" s="44"/>
      <c r="H849" s="44"/>
      <c r="I849" s="44"/>
      <c r="J849" s="44"/>
      <c r="K849" s="44"/>
      <c r="L849" s="44"/>
      <c r="M849" s="44"/>
      <c r="N849" s="45"/>
    </row>
    <row r="850" spans="2:14" x14ac:dyDescent="0.25">
      <c r="B850" s="103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48"/>
    </row>
    <row r="851" spans="2:14" ht="12" customHeight="1" x14ac:dyDescent="0.25">
      <c r="B851" s="103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48"/>
    </row>
    <row r="852" spans="2:14" x14ac:dyDescent="0.25">
      <c r="B852" s="103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48"/>
    </row>
    <row r="853" spans="2:14" ht="12" customHeight="1" x14ac:dyDescent="0.25">
      <c r="B853" s="103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48"/>
    </row>
    <row r="854" spans="2:14" x14ac:dyDescent="0.25">
      <c r="B854" s="103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48"/>
    </row>
    <row r="855" spans="2:14" ht="12" customHeight="1" x14ac:dyDescent="0.25">
      <c r="B855" s="103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48"/>
    </row>
    <row r="856" spans="2:14" x14ac:dyDescent="0.25">
      <c r="B856" s="103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48"/>
    </row>
    <row r="857" spans="2:14" x14ac:dyDescent="0.25">
      <c r="B857" s="346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48"/>
    </row>
    <row r="858" spans="2:14" x14ac:dyDescent="0.25">
      <c r="B858" s="346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48"/>
    </row>
    <row r="859" spans="2:14" x14ac:dyDescent="0.25">
      <c r="B859" s="346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48"/>
    </row>
    <row r="860" spans="2:14" x14ac:dyDescent="0.25">
      <c r="B860" s="346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48"/>
    </row>
    <row r="861" spans="2:14" x14ac:dyDescent="0.25">
      <c r="B861" s="346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48"/>
    </row>
    <row r="862" spans="2:14" x14ac:dyDescent="0.25">
      <c r="B862" s="346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48"/>
    </row>
    <row r="863" spans="2:14" x14ac:dyDescent="0.25">
      <c r="B863" s="346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48"/>
    </row>
    <row r="864" spans="2:14" x14ac:dyDescent="0.25">
      <c r="B864" s="346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48"/>
    </row>
    <row r="865" spans="2:14" ht="12" customHeight="1" x14ac:dyDescent="0.25">
      <c r="B865" s="103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48"/>
    </row>
    <row r="866" spans="2:14" x14ac:dyDescent="0.25">
      <c r="B866" s="103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48"/>
    </row>
    <row r="867" spans="2:14" ht="12" customHeight="1" x14ac:dyDescent="0.25">
      <c r="B867" s="103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48"/>
    </row>
    <row r="868" spans="2:14" ht="6.75" customHeight="1" thickBot="1" x14ac:dyDescent="0.3">
      <c r="B868" s="83"/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60"/>
    </row>
    <row r="869" spans="2:14" s="35" customFormat="1" ht="6.75" customHeight="1" x14ac:dyDescent="0.25">
      <c r="B869" s="337"/>
      <c r="C869" s="256"/>
      <c r="D869" s="37"/>
      <c r="E869" s="37"/>
      <c r="F869" s="37"/>
      <c r="G869" s="37"/>
      <c r="H869" s="37"/>
      <c r="I869" s="37"/>
      <c r="J869" s="37"/>
      <c r="K869" s="37"/>
      <c r="L869" s="37"/>
      <c r="M869" s="37"/>
      <c r="N869" s="37"/>
    </row>
    <row r="870" spans="2:14" s="35" customFormat="1" ht="6.75" customHeight="1" thickBot="1" x14ac:dyDescent="0.3">
      <c r="B870" s="437"/>
      <c r="C870" s="66"/>
      <c r="D870" s="44"/>
      <c r="E870" s="44"/>
      <c r="F870" s="44"/>
      <c r="G870" s="44"/>
      <c r="H870" s="44"/>
      <c r="I870" s="44"/>
      <c r="J870" s="44"/>
      <c r="K870" s="44"/>
      <c r="L870" s="44"/>
      <c r="M870" s="44"/>
      <c r="N870" s="44"/>
    </row>
    <row r="871" spans="2:14" s="35" customFormat="1" ht="6.75" customHeight="1" x14ac:dyDescent="0.25">
      <c r="B871" s="36"/>
      <c r="C871" s="256"/>
      <c r="D871" s="37"/>
      <c r="E871" s="37"/>
      <c r="F871" s="37"/>
      <c r="G871" s="37"/>
      <c r="H871" s="37"/>
      <c r="I871" s="37"/>
      <c r="J871" s="37"/>
      <c r="K871" s="37"/>
      <c r="L871" s="37"/>
      <c r="M871" s="37"/>
      <c r="N871" s="38"/>
    </row>
    <row r="872" spans="2:14" ht="63" customHeight="1" x14ac:dyDescent="0.25">
      <c r="B872" s="435" t="s">
        <v>754</v>
      </c>
      <c r="C872" s="471" t="s">
        <v>755</v>
      </c>
      <c r="D872" s="472"/>
      <c r="E872" s="472"/>
      <c r="F872" s="472"/>
      <c r="G872" s="473"/>
      <c r="H872" s="436" t="s">
        <v>145</v>
      </c>
      <c r="I872" s="474" t="s">
        <v>282</v>
      </c>
      <c r="J872" s="474"/>
      <c r="K872" s="474"/>
      <c r="L872" s="475"/>
      <c r="M872" s="475"/>
      <c r="N872" s="48"/>
    </row>
    <row r="873" spans="2:14" ht="41.25" customHeight="1" x14ac:dyDescent="0.25">
      <c r="B873" s="435" t="s">
        <v>756</v>
      </c>
      <c r="C873" s="465"/>
      <c r="D873" s="466"/>
      <c r="E873" s="466"/>
      <c r="F873" s="466"/>
      <c r="G873" s="467"/>
      <c r="H873" s="383"/>
      <c r="I873" s="468"/>
      <c r="J873" s="469"/>
      <c r="K873" s="469"/>
      <c r="L873" s="469"/>
      <c r="M873" s="470"/>
      <c r="N873" s="48"/>
    </row>
    <row r="874" spans="2:14" ht="41.25" customHeight="1" x14ac:dyDescent="0.25">
      <c r="B874" s="435" t="s">
        <v>757</v>
      </c>
      <c r="C874" s="465"/>
      <c r="D874" s="466"/>
      <c r="E874" s="466"/>
      <c r="F874" s="466"/>
      <c r="G874" s="467"/>
      <c r="H874" s="383"/>
      <c r="I874" s="468"/>
      <c r="J874" s="469"/>
      <c r="K874" s="469"/>
      <c r="L874" s="469"/>
      <c r="M874" s="470"/>
      <c r="N874" s="48"/>
    </row>
    <row r="875" spans="2:14" ht="41.25" customHeight="1" x14ac:dyDescent="0.25">
      <c r="B875" s="435" t="s">
        <v>758</v>
      </c>
      <c r="C875" s="465"/>
      <c r="D875" s="466"/>
      <c r="E875" s="466"/>
      <c r="F875" s="466"/>
      <c r="G875" s="467"/>
      <c r="H875" s="383"/>
      <c r="I875" s="468"/>
      <c r="J875" s="469"/>
      <c r="K875" s="469"/>
      <c r="L875" s="469"/>
      <c r="M875" s="470"/>
      <c r="N875" s="48"/>
    </row>
    <row r="876" spans="2:14" ht="41.25" customHeight="1" x14ac:dyDescent="0.25">
      <c r="B876" s="435" t="s">
        <v>759</v>
      </c>
      <c r="C876" s="465"/>
      <c r="D876" s="466"/>
      <c r="E876" s="466"/>
      <c r="F876" s="466"/>
      <c r="G876" s="467"/>
      <c r="H876" s="383"/>
      <c r="I876" s="468"/>
      <c r="J876" s="469"/>
      <c r="K876" s="469"/>
      <c r="L876" s="469"/>
      <c r="M876" s="470"/>
      <c r="N876" s="48"/>
    </row>
    <row r="877" spans="2:14" ht="41.25" customHeight="1" x14ac:dyDescent="0.25">
      <c r="B877" s="435" t="s">
        <v>760</v>
      </c>
      <c r="C877" s="465"/>
      <c r="D877" s="466"/>
      <c r="E877" s="466"/>
      <c r="F877" s="466"/>
      <c r="G877" s="467"/>
      <c r="H877" s="383"/>
      <c r="I877" s="468"/>
      <c r="J877" s="469"/>
      <c r="K877" s="469"/>
      <c r="L877" s="469"/>
      <c r="M877" s="470"/>
      <c r="N877" s="48"/>
    </row>
    <row r="878" spans="2:14" ht="41.25" customHeight="1" x14ac:dyDescent="0.25">
      <c r="B878" s="435" t="s">
        <v>761</v>
      </c>
      <c r="C878" s="465"/>
      <c r="D878" s="466"/>
      <c r="E878" s="466"/>
      <c r="F878" s="466"/>
      <c r="G878" s="467"/>
      <c r="H878" s="383"/>
      <c r="I878" s="468"/>
      <c r="J878" s="469"/>
      <c r="K878" s="469"/>
      <c r="L878" s="469"/>
      <c r="M878" s="470"/>
      <c r="N878" s="48"/>
    </row>
    <row r="879" spans="2:14" ht="41.25" customHeight="1" x14ac:dyDescent="0.25">
      <c r="B879" s="435" t="s">
        <v>762</v>
      </c>
      <c r="C879" s="465"/>
      <c r="D879" s="466"/>
      <c r="E879" s="466"/>
      <c r="F879" s="466"/>
      <c r="G879" s="467"/>
      <c r="H879" s="383"/>
      <c r="I879" s="468"/>
      <c r="J879" s="469"/>
      <c r="K879" s="469"/>
      <c r="L879" s="469"/>
      <c r="M879" s="470"/>
      <c r="N879" s="48"/>
    </row>
    <row r="880" spans="2:14" ht="41.25" customHeight="1" x14ac:dyDescent="0.25">
      <c r="B880" s="435" t="s">
        <v>763</v>
      </c>
      <c r="C880" s="465"/>
      <c r="D880" s="466"/>
      <c r="E880" s="466"/>
      <c r="F880" s="466"/>
      <c r="G880" s="467"/>
      <c r="H880" s="383"/>
      <c r="I880" s="468"/>
      <c r="J880" s="469"/>
      <c r="K880" s="469"/>
      <c r="L880" s="469"/>
      <c r="M880" s="470"/>
      <c r="N880" s="48"/>
    </row>
    <row r="881" spans="2:14" ht="41.25" customHeight="1" x14ac:dyDescent="0.25">
      <c r="B881" s="435" t="s">
        <v>764</v>
      </c>
      <c r="C881" s="465"/>
      <c r="D881" s="466"/>
      <c r="E881" s="466"/>
      <c r="F881" s="466"/>
      <c r="G881" s="467"/>
      <c r="H881" s="383"/>
      <c r="I881" s="468"/>
      <c r="J881" s="469"/>
      <c r="K881" s="469"/>
      <c r="L881" s="469"/>
      <c r="M881" s="470"/>
      <c r="N881" s="48"/>
    </row>
    <row r="882" spans="2:14" ht="41.25" customHeight="1" x14ac:dyDescent="0.25">
      <c r="B882" s="435" t="s">
        <v>765</v>
      </c>
      <c r="C882" s="465"/>
      <c r="D882" s="466"/>
      <c r="E882" s="466"/>
      <c r="F882" s="466"/>
      <c r="G882" s="467"/>
      <c r="H882" s="383"/>
      <c r="I882" s="468"/>
      <c r="J882" s="469"/>
      <c r="K882" s="469"/>
      <c r="L882" s="469"/>
      <c r="M882" s="470"/>
      <c r="N882" s="48"/>
    </row>
    <row r="883" spans="2:14" ht="41.25" customHeight="1" x14ac:dyDescent="0.25">
      <c r="B883" s="435" t="s">
        <v>766</v>
      </c>
      <c r="C883" s="465"/>
      <c r="D883" s="466"/>
      <c r="E883" s="466"/>
      <c r="F883" s="466"/>
      <c r="G883" s="467"/>
      <c r="H883" s="383"/>
      <c r="I883" s="468"/>
      <c r="J883" s="469"/>
      <c r="K883" s="469"/>
      <c r="L883" s="469"/>
      <c r="M883" s="470"/>
      <c r="N883" s="48"/>
    </row>
    <row r="884" spans="2:14" ht="41.25" customHeight="1" x14ac:dyDescent="0.25">
      <c r="B884" s="435" t="s">
        <v>767</v>
      </c>
      <c r="C884" s="465"/>
      <c r="D884" s="466"/>
      <c r="E884" s="466"/>
      <c r="F884" s="466"/>
      <c r="G884" s="467"/>
      <c r="H884" s="383"/>
      <c r="I884" s="468"/>
      <c r="J884" s="469"/>
      <c r="K884" s="469"/>
      <c r="L884" s="469"/>
      <c r="M884" s="470"/>
      <c r="N884" s="48"/>
    </row>
    <row r="885" spans="2:14" ht="41.25" customHeight="1" x14ac:dyDescent="0.25">
      <c r="B885" s="435" t="s">
        <v>768</v>
      </c>
      <c r="C885" s="465"/>
      <c r="D885" s="466"/>
      <c r="E885" s="466"/>
      <c r="F885" s="466"/>
      <c r="G885" s="467"/>
      <c r="H885" s="383"/>
      <c r="I885" s="468"/>
      <c r="J885" s="469"/>
      <c r="K885" s="469"/>
      <c r="L885" s="469"/>
      <c r="M885" s="470"/>
      <c r="N885" s="48"/>
    </row>
    <row r="886" spans="2:14" ht="41.25" customHeight="1" x14ac:dyDescent="0.25">
      <c r="B886" s="435" t="s">
        <v>769</v>
      </c>
      <c r="C886" s="465"/>
      <c r="D886" s="466"/>
      <c r="E886" s="466"/>
      <c r="F886" s="466"/>
      <c r="G886" s="467"/>
      <c r="H886" s="383"/>
      <c r="I886" s="468"/>
      <c r="J886" s="469"/>
      <c r="K886" s="469"/>
      <c r="L886" s="469"/>
      <c r="M886" s="470"/>
      <c r="N886" s="48"/>
    </row>
    <row r="887" spans="2:14" ht="41.25" customHeight="1" x14ac:dyDescent="0.25">
      <c r="B887" s="435" t="s">
        <v>770</v>
      </c>
      <c r="C887" s="465"/>
      <c r="D887" s="466"/>
      <c r="E887" s="466"/>
      <c r="F887" s="466"/>
      <c r="G887" s="467"/>
      <c r="H887" s="383"/>
      <c r="I887" s="468"/>
      <c r="J887" s="469"/>
      <c r="K887" s="469"/>
      <c r="L887" s="469"/>
      <c r="M887" s="470"/>
      <c r="N887" s="48"/>
    </row>
    <row r="888" spans="2:14" ht="41.25" customHeight="1" x14ac:dyDescent="0.25">
      <c r="B888" s="435" t="s">
        <v>771</v>
      </c>
      <c r="C888" s="465"/>
      <c r="D888" s="466"/>
      <c r="E888" s="466"/>
      <c r="F888" s="466"/>
      <c r="G888" s="467"/>
      <c r="H888" s="383"/>
      <c r="I888" s="468"/>
      <c r="J888" s="469"/>
      <c r="K888" s="469"/>
      <c r="L888" s="469"/>
      <c r="M888" s="470"/>
      <c r="N888" s="48"/>
    </row>
    <row r="889" spans="2:14" ht="41.25" customHeight="1" x14ac:dyDescent="0.25">
      <c r="B889" s="435" t="s">
        <v>772</v>
      </c>
      <c r="C889" s="465"/>
      <c r="D889" s="466"/>
      <c r="E889" s="466"/>
      <c r="F889" s="466"/>
      <c r="G889" s="467"/>
      <c r="H889" s="383"/>
      <c r="I889" s="468"/>
      <c r="J889" s="469"/>
      <c r="K889" s="469"/>
      <c r="L889" s="469"/>
      <c r="M889" s="470"/>
      <c r="N889" s="48"/>
    </row>
    <row r="890" spans="2:14" ht="41.25" customHeight="1" x14ac:dyDescent="0.25">
      <c r="B890" s="435" t="s">
        <v>773</v>
      </c>
      <c r="C890" s="465"/>
      <c r="D890" s="466"/>
      <c r="E890" s="466"/>
      <c r="F890" s="466"/>
      <c r="G890" s="467"/>
      <c r="H890" s="383"/>
      <c r="I890" s="468"/>
      <c r="J890" s="469"/>
      <c r="K890" s="469"/>
      <c r="L890" s="469"/>
      <c r="M890" s="470"/>
      <c r="N890" s="48"/>
    </row>
    <row r="891" spans="2:14" ht="41.25" customHeight="1" x14ac:dyDescent="0.25">
      <c r="B891" s="435" t="s">
        <v>774</v>
      </c>
      <c r="C891" s="465"/>
      <c r="D891" s="466"/>
      <c r="E891" s="466"/>
      <c r="F891" s="466"/>
      <c r="G891" s="467"/>
      <c r="H891" s="383"/>
      <c r="I891" s="468"/>
      <c r="J891" s="469"/>
      <c r="K891" s="469"/>
      <c r="L891" s="469"/>
      <c r="M891" s="470"/>
      <c r="N891" s="48"/>
    </row>
    <row r="892" spans="2:14" ht="41.25" customHeight="1" x14ac:dyDescent="0.25">
      <c r="B892" s="435" t="s">
        <v>775</v>
      </c>
      <c r="C892" s="465"/>
      <c r="D892" s="466"/>
      <c r="E892" s="466"/>
      <c r="F892" s="466"/>
      <c r="G892" s="467"/>
      <c r="H892" s="383"/>
      <c r="I892" s="468"/>
      <c r="J892" s="469"/>
      <c r="K892" s="469"/>
      <c r="L892" s="469"/>
      <c r="M892" s="470"/>
      <c r="N892" s="48"/>
    </row>
    <row r="893" spans="2:14" s="35" customFormat="1" ht="6.75" customHeight="1" thickBot="1" x14ac:dyDescent="0.3">
      <c r="B893" s="52"/>
      <c r="C893" s="81"/>
      <c r="D893" s="53"/>
      <c r="E893" s="53"/>
      <c r="F893" s="53"/>
      <c r="G893" s="53"/>
      <c r="H893" s="53"/>
      <c r="I893" s="53"/>
      <c r="J893" s="53"/>
      <c r="K893" s="53"/>
      <c r="L893" s="53"/>
      <c r="M893" s="53"/>
      <c r="N893" s="54"/>
    </row>
    <row r="894" spans="2:14" s="35" customFormat="1" ht="6.75" customHeight="1" x14ac:dyDescent="0.25">
      <c r="B894" s="437"/>
      <c r="C894" s="66"/>
      <c r="D894" s="44"/>
      <c r="E894" s="44"/>
      <c r="F894" s="44"/>
      <c r="G894" s="44"/>
      <c r="H894" s="44"/>
      <c r="I894" s="44"/>
      <c r="J894" s="44"/>
      <c r="K894" s="44"/>
      <c r="L894" s="44"/>
      <c r="M894" s="44"/>
      <c r="N894" s="44"/>
    </row>
    <row r="895" spans="2:14" s="35" customFormat="1" ht="6.75" customHeight="1" thickBot="1" x14ac:dyDescent="0.3">
      <c r="B895" s="338"/>
      <c r="C895" s="81"/>
      <c r="D895" s="53"/>
      <c r="E895" s="53"/>
      <c r="F895" s="53"/>
      <c r="G895" s="53"/>
      <c r="H895" s="53"/>
      <c r="I895" s="53"/>
      <c r="J895" s="53"/>
      <c r="K895" s="53"/>
      <c r="L895" s="53"/>
      <c r="M895" s="53"/>
      <c r="N895" s="53"/>
    </row>
    <row r="896" spans="2:14" ht="4.5" customHeight="1" thickBot="1" x14ac:dyDescent="0.3">
      <c r="B896" s="77"/>
      <c r="C896" s="78"/>
      <c r="D896" s="78"/>
      <c r="E896" s="78"/>
      <c r="F896" s="78"/>
      <c r="G896" s="78"/>
      <c r="H896" s="78"/>
      <c r="I896" s="78"/>
      <c r="J896" s="78"/>
      <c r="K896" s="78"/>
      <c r="L896" s="78"/>
      <c r="M896" s="78"/>
      <c r="N896" s="79"/>
    </row>
    <row r="897" spans="2:14" s="6" customFormat="1" ht="30" customHeight="1" thickBot="1" x14ac:dyDescent="0.3">
      <c r="B897" s="41" t="s">
        <v>132</v>
      </c>
      <c r="C897" s="165" t="s">
        <v>782</v>
      </c>
      <c r="D897" s="166"/>
      <c r="E897" s="166"/>
      <c r="F897" s="166"/>
      <c r="G897" s="166"/>
      <c r="H897" s="166"/>
      <c r="I897" s="166"/>
      <c r="J897" s="166"/>
      <c r="K897" s="166"/>
      <c r="L897" s="166"/>
      <c r="M897" s="167"/>
      <c r="N897" s="42"/>
    </row>
    <row r="898" spans="2:14" s="35" customFormat="1" ht="6.75" customHeight="1" x14ac:dyDescent="0.25">
      <c r="B898" s="43"/>
      <c r="C898" s="66"/>
      <c r="D898" s="44"/>
      <c r="E898" s="44"/>
      <c r="F898" s="44"/>
      <c r="G898" s="44"/>
      <c r="H898" s="44"/>
      <c r="I898" s="44"/>
      <c r="J898" s="44"/>
      <c r="K898" s="44"/>
      <c r="L898" s="44"/>
      <c r="M898" s="44"/>
      <c r="N898" s="45"/>
    </row>
    <row r="899" spans="2:14" ht="33" customHeight="1" x14ac:dyDescent="0.25">
      <c r="B899" s="325"/>
      <c r="C899" s="569" t="s">
        <v>233</v>
      </c>
      <c r="D899" s="588"/>
      <c r="E899" s="363" t="s">
        <v>234</v>
      </c>
      <c r="F899" s="363" t="s">
        <v>235</v>
      </c>
      <c r="G899" s="364" t="s">
        <v>590</v>
      </c>
      <c r="H899" s="642" t="s">
        <v>593</v>
      </c>
      <c r="I899" s="648"/>
      <c r="J899" s="648"/>
      <c r="K899" s="365" t="s">
        <v>594</v>
      </c>
      <c r="L899" s="569" t="s">
        <v>282</v>
      </c>
      <c r="M899" s="588"/>
      <c r="N899" s="48"/>
    </row>
    <row r="900" spans="2:14" ht="12" customHeight="1" x14ac:dyDescent="0.25">
      <c r="B900" s="103"/>
      <c r="C900" s="538"/>
      <c r="D900" s="488"/>
      <c r="E900" s="335"/>
      <c r="F900" s="459"/>
      <c r="G900" s="459"/>
      <c r="H900" s="646"/>
      <c r="I900" s="647"/>
      <c r="J900" s="488"/>
      <c r="K900" s="460"/>
      <c r="L900" s="504"/>
      <c r="M900" s="462"/>
      <c r="N900" s="48"/>
    </row>
    <row r="901" spans="2:14" ht="12" customHeight="1" x14ac:dyDescent="0.25">
      <c r="B901" s="103"/>
      <c r="C901" s="538"/>
      <c r="D901" s="488"/>
      <c r="E901" s="336"/>
      <c r="F901" s="459"/>
      <c r="G901" s="459"/>
      <c r="H901" s="646"/>
      <c r="I901" s="647"/>
      <c r="J901" s="488"/>
      <c r="K901" s="460"/>
      <c r="L901" s="504"/>
      <c r="M901" s="462"/>
      <c r="N901" s="48"/>
    </row>
    <row r="902" spans="2:14" ht="12" customHeight="1" x14ac:dyDescent="0.25">
      <c r="B902" s="103"/>
      <c r="C902" s="538"/>
      <c r="D902" s="488"/>
      <c r="E902" s="336"/>
      <c r="F902" s="459"/>
      <c r="G902" s="459"/>
      <c r="H902" s="646"/>
      <c r="I902" s="647"/>
      <c r="J902" s="488"/>
      <c r="K902" s="460"/>
      <c r="L902" s="504"/>
      <c r="M902" s="462"/>
      <c r="N902" s="48"/>
    </row>
    <row r="903" spans="2:14" ht="12" customHeight="1" x14ac:dyDescent="0.25">
      <c r="B903" s="103"/>
      <c r="C903" s="538"/>
      <c r="D903" s="488"/>
      <c r="E903" s="336"/>
      <c r="F903" s="459"/>
      <c r="G903" s="459"/>
      <c r="H903" s="646"/>
      <c r="I903" s="647"/>
      <c r="J903" s="488"/>
      <c r="K903" s="460"/>
      <c r="L903" s="504"/>
      <c r="M903" s="462"/>
      <c r="N903" s="48"/>
    </row>
    <row r="904" spans="2:14" ht="12" customHeight="1" x14ac:dyDescent="0.25">
      <c r="B904" s="103"/>
      <c r="C904" s="538"/>
      <c r="D904" s="488"/>
      <c r="E904" s="336"/>
      <c r="F904" s="459"/>
      <c r="G904" s="459"/>
      <c r="H904" s="646"/>
      <c r="I904" s="647"/>
      <c r="J904" s="488"/>
      <c r="K904" s="460"/>
      <c r="L904" s="504"/>
      <c r="M904" s="462"/>
      <c r="N904" s="48"/>
    </row>
    <row r="905" spans="2:14" ht="12" customHeight="1" x14ac:dyDescent="0.25">
      <c r="B905" s="103"/>
      <c r="C905" s="538"/>
      <c r="D905" s="488"/>
      <c r="E905" s="336"/>
      <c r="F905" s="459"/>
      <c r="G905" s="459"/>
      <c r="H905" s="646"/>
      <c r="I905" s="647"/>
      <c r="J905" s="488"/>
      <c r="K905" s="460"/>
      <c r="L905" s="504"/>
      <c r="M905" s="462"/>
      <c r="N905" s="48"/>
    </row>
    <row r="906" spans="2:14" ht="12" customHeight="1" x14ac:dyDescent="0.25">
      <c r="B906" s="103"/>
      <c r="C906" s="538"/>
      <c r="D906" s="488"/>
      <c r="E906" s="336"/>
      <c r="F906" s="459"/>
      <c r="G906" s="459"/>
      <c r="H906" s="646"/>
      <c r="I906" s="647"/>
      <c r="J906" s="488"/>
      <c r="K906" s="460"/>
      <c r="L906" s="504"/>
      <c r="M906" s="462"/>
      <c r="N906" s="48"/>
    </row>
    <row r="907" spans="2:14" ht="12" customHeight="1" x14ac:dyDescent="0.25">
      <c r="B907" s="103"/>
      <c r="C907" s="538"/>
      <c r="D907" s="488"/>
      <c r="E907" s="336"/>
      <c r="F907" s="459"/>
      <c r="G907" s="459"/>
      <c r="H907" s="646"/>
      <c r="I907" s="647"/>
      <c r="J907" s="488"/>
      <c r="K907" s="460"/>
      <c r="L907" s="504"/>
      <c r="M907" s="462"/>
      <c r="N907" s="48"/>
    </row>
    <row r="908" spans="2:14" ht="12" customHeight="1" x14ac:dyDescent="0.25">
      <c r="B908" s="103"/>
      <c r="C908" s="538"/>
      <c r="D908" s="488"/>
      <c r="E908" s="336"/>
      <c r="F908" s="459"/>
      <c r="G908" s="459"/>
      <c r="H908" s="646"/>
      <c r="I908" s="647"/>
      <c r="J908" s="488"/>
      <c r="K908" s="460"/>
      <c r="L908" s="504"/>
      <c r="M908" s="462"/>
      <c r="N908" s="48"/>
    </row>
    <row r="909" spans="2:14" ht="12" customHeight="1" x14ac:dyDescent="0.25">
      <c r="B909" s="103"/>
      <c r="C909" s="538"/>
      <c r="D909" s="488"/>
      <c r="E909" s="336"/>
      <c r="F909" s="459"/>
      <c r="G909" s="459"/>
      <c r="H909" s="646"/>
      <c r="I909" s="647"/>
      <c r="J909" s="488"/>
      <c r="K909" s="460"/>
      <c r="L909" s="504"/>
      <c r="M909" s="462"/>
      <c r="N909" s="48"/>
    </row>
    <row r="910" spans="2:14" ht="12" customHeight="1" x14ac:dyDescent="0.25">
      <c r="B910" s="103"/>
      <c r="C910" s="538"/>
      <c r="D910" s="488"/>
      <c r="E910" s="336"/>
      <c r="F910" s="459"/>
      <c r="G910" s="459"/>
      <c r="H910" s="646"/>
      <c r="I910" s="647"/>
      <c r="J910" s="488"/>
      <c r="K910" s="460"/>
      <c r="L910" s="504"/>
      <c r="M910" s="462"/>
      <c r="N910" s="48"/>
    </row>
    <row r="911" spans="2:14" ht="12" customHeight="1" x14ac:dyDescent="0.25">
      <c r="B911" s="103"/>
      <c r="C911" s="538"/>
      <c r="D911" s="488"/>
      <c r="E911" s="336"/>
      <c r="F911" s="459"/>
      <c r="G911" s="459"/>
      <c r="H911" s="646"/>
      <c r="I911" s="647"/>
      <c r="J911" s="488"/>
      <c r="K911" s="460"/>
      <c r="L911" s="504"/>
      <c r="M911" s="462"/>
      <c r="N911" s="48"/>
    </row>
    <row r="912" spans="2:14" ht="12" customHeight="1" x14ac:dyDescent="0.25">
      <c r="B912" s="103"/>
      <c r="C912" s="538"/>
      <c r="D912" s="488"/>
      <c r="E912" s="336"/>
      <c r="F912" s="459"/>
      <c r="G912" s="459"/>
      <c r="H912" s="646"/>
      <c r="I912" s="647"/>
      <c r="J912" s="488"/>
      <c r="K912" s="460"/>
      <c r="L912" s="504"/>
      <c r="M912" s="462"/>
      <c r="N912" s="48"/>
    </row>
    <row r="913" spans="2:14" ht="12" customHeight="1" x14ac:dyDescent="0.25">
      <c r="B913" s="103"/>
      <c r="C913" s="538"/>
      <c r="D913" s="488"/>
      <c r="E913" s="336"/>
      <c r="F913" s="459"/>
      <c r="G913" s="459"/>
      <c r="H913" s="646"/>
      <c r="I913" s="647"/>
      <c r="J913" s="488"/>
      <c r="K913" s="460"/>
      <c r="L913" s="504"/>
      <c r="M913" s="462"/>
      <c r="N913" s="48"/>
    </row>
    <row r="914" spans="2:14" ht="12" customHeight="1" x14ac:dyDescent="0.25">
      <c r="B914" s="103"/>
      <c r="C914" s="538"/>
      <c r="D914" s="488"/>
      <c r="E914" s="336"/>
      <c r="F914" s="459"/>
      <c r="G914" s="459"/>
      <c r="H914" s="646"/>
      <c r="I914" s="647"/>
      <c r="J914" s="488"/>
      <c r="K914" s="460"/>
      <c r="L914" s="504"/>
      <c r="M914" s="462"/>
      <c r="N914" s="48"/>
    </row>
    <row r="915" spans="2:14" ht="12" customHeight="1" x14ac:dyDescent="0.25">
      <c r="B915" s="103"/>
      <c r="C915" s="538"/>
      <c r="D915" s="488"/>
      <c r="E915" s="336"/>
      <c r="F915" s="459"/>
      <c r="G915" s="459"/>
      <c r="H915" s="646"/>
      <c r="I915" s="647"/>
      <c r="J915" s="488"/>
      <c r="K915" s="460"/>
      <c r="L915" s="504"/>
      <c r="M915" s="462"/>
      <c r="N915" s="48"/>
    </row>
    <row r="916" spans="2:14" ht="12" customHeight="1" x14ac:dyDescent="0.25">
      <c r="B916" s="103"/>
      <c r="C916" s="538"/>
      <c r="D916" s="488"/>
      <c r="E916" s="336"/>
      <c r="F916" s="459"/>
      <c r="G916" s="459"/>
      <c r="H916" s="646"/>
      <c r="I916" s="647"/>
      <c r="J916" s="488"/>
      <c r="K916" s="460"/>
      <c r="L916" s="504"/>
      <c r="M916" s="462"/>
      <c r="N916" s="48"/>
    </row>
    <row r="917" spans="2:14" ht="12" customHeight="1" x14ac:dyDescent="0.25">
      <c r="B917" s="103"/>
      <c r="C917" s="538"/>
      <c r="D917" s="488"/>
      <c r="E917" s="336"/>
      <c r="F917" s="459"/>
      <c r="G917" s="459"/>
      <c r="H917" s="646"/>
      <c r="I917" s="647"/>
      <c r="J917" s="488"/>
      <c r="K917" s="460"/>
      <c r="L917" s="504"/>
      <c r="M917" s="462"/>
      <c r="N917" s="48"/>
    </row>
    <row r="918" spans="2:14" ht="12" customHeight="1" x14ac:dyDescent="0.25">
      <c r="B918" s="103"/>
      <c r="C918" s="538"/>
      <c r="D918" s="488"/>
      <c r="E918" s="336"/>
      <c r="F918" s="459"/>
      <c r="G918" s="459"/>
      <c r="H918" s="646"/>
      <c r="I918" s="647"/>
      <c r="J918" s="488"/>
      <c r="K918" s="460"/>
      <c r="L918" s="504"/>
      <c r="M918" s="462"/>
      <c r="N918" s="48"/>
    </row>
    <row r="919" spans="2:14" ht="12" customHeight="1" x14ac:dyDescent="0.25">
      <c r="B919" s="103"/>
      <c r="C919" s="538"/>
      <c r="D919" s="488"/>
      <c r="E919" s="336"/>
      <c r="F919" s="459"/>
      <c r="G919" s="459"/>
      <c r="H919" s="646"/>
      <c r="I919" s="647"/>
      <c r="J919" s="488"/>
      <c r="K919" s="460"/>
      <c r="L919" s="504"/>
      <c r="M919" s="462"/>
      <c r="N919" s="48"/>
    </row>
    <row r="920" spans="2:14" ht="12" customHeight="1" x14ac:dyDescent="0.25">
      <c r="B920" s="103"/>
      <c r="C920" s="538"/>
      <c r="D920" s="488"/>
      <c r="E920" s="336"/>
      <c r="F920" s="459"/>
      <c r="G920" s="459"/>
      <c r="H920" s="646"/>
      <c r="I920" s="647"/>
      <c r="J920" s="488"/>
      <c r="K920" s="460"/>
      <c r="L920" s="504"/>
      <c r="M920" s="462"/>
      <c r="N920" s="48"/>
    </row>
    <row r="921" spans="2:14" ht="12" customHeight="1" x14ac:dyDescent="0.25">
      <c r="B921" s="103"/>
      <c r="C921" s="538"/>
      <c r="D921" s="488"/>
      <c r="E921" s="336"/>
      <c r="F921" s="459"/>
      <c r="G921" s="459"/>
      <c r="H921" s="646"/>
      <c r="I921" s="647"/>
      <c r="J921" s="488"/>
      <c r="K921" s="460"/>
      <c r="L921" s="504"/>
      <c r="M921" s="462"/>
      <c r="N921" s="48"/>
    </row>
    <row r="922" spans="2:14" ht="12" customHeight="1" x14ac:dyDescent="0.25">
      <c r="B922" s="103"/>
      <c r="C922" s="538"/>
      <c r="D922" s="488"/>
      <c r="E922" s="336"/>
      <c r="F922" s="459"/>
      <c r="G922" s="459"/>
      <c r="H922" s="646"/>
      <c r="I922" s="647"/>
      <c r="J922" s="488"/>
      <c r="K922" s="460"/>
      <c r="L922" s="504"/>
      <c r="M922" s="462"/>
      <c r="N922" s="48"/>
    </row>
    <row r="923" spans="2:14" ht="12" customHeight="1" x14ac:dyDescent="0.25">
      <c r="B923" s="103"/>
      <c r="C923" s="538"/>
      <c r="D923" s="488"/>
      <c r="E923" s="336"/>
      <c r="F923" s="459"/>
      <c r="G923" s="459"/>
      <c r="H923" s="646"/>
      <c r="I923" s="647"/>
      <c r="J923" s="488"/>
      <c r="K923" s="460"/>
      <c r="L923" s="504"/>
      <c r="M923" s="462"/>
      <c r="N923" s="48"/>
    </row>
    <row r="924" spans="2:14" ht="12" customHeight="1" x14ac:dyDescent="0.25">
      <c r="B924" s="103"/>
      <c r="C924" s="538"/>
      <c r="D924" s="488"/>
      <c r="E924" s="336"/>
      <c r="F924" s="459"/>
      <c r="G924" s="459"/>
      <c r="H924" s="646"/>
      <c r="I924" s="647"/>
      <c r="J924" s="488"/>
      <c r="K924" s="460"/>
      <c r="L924" s="504"/>
      <c r="M924" s="462"/>
      <c r="N924" s="48"/>
    </row>
    <row r="925" spans="2:14" ht="12" customHeight="1" x14ac:dyDescent="0.25">
      <c r="B925" s="103"/>
      <c r="C925" s="538"/>
      <c r="D925" s="488"/>
      <c r="E925" s="336"/>
      <c r="F925" s="459"/>
      <c r="G925" s="459"/>
      <c r="H925" s="646"/>
      <c r="I925" s="647"/>
      <c r="J925" s="488"/>
      <c r="K925" s="460"/>
      <c r="L925" s="504"/>
      <c r="M925" s="462"/>
      <c r="N925" s="48"/>
    </row>
    <row r="926" spans="2:14" ht="12" customHeight="1" x14ac:dyDescent="0.25">
      <c r="B926" s="103"/>
      <c r="C926" s="538"/>
      <c r="D926" s="488"/>
      <c r="E926" s="336"/>
      <c r="F926" s="459"/>
      <c r="G926" s="459"/>
      <c r="H926" s="646"/>
      <c r="I926" s="647"/>
      <c r="J926" s="488"/>
      <c r="K926" s="460"/>
      <c r="L926" s="504"/>
      <c r="M926" s="462"/>
      <c r="N926" s="48"/>
    </row>
    <row r="927" spans="2:14" ht="12" customHeight="1" x14ac:dyDescent="0.25">
      <c r="B927" s="103"/>
      <c r="C927" s="538"/>
      <c r="D927" s="488"/>
      <c r="E927" s="336"/>
      <c r="F927" s="459"/>
      <c r="G927" s="459"/>
      <c r="H927" s="646"/>
      <c r="I927" s="647"/>
      <c r="J927" s="488"/>
      <c r="K927" s="460"/>
      <c r="L927" s="504"/>
      <c r="M927" s="462"/>
      <c r="N927" s="48"/>
    </row>
    <row r="928" spans="2:14" ht="12" customHeight="1" x14ac:dyDescent="0.25">
      <c r="B928" s="103"/>
      <c r="C928" s="538"/>
      <c r="D928" s="488"/>
      <c r="E928" s="336"/>
      <c r="F928" s="459"/>
      <c r="G928" s="459"/>
      <c r="H928" s="646"/>
      <c r="I928" s="647"/>
      <c r="J928" s="488"/>
      <c r="K928" s="460"/>
      <c r="L928" s="504"/>
      <c r="M928" s="462"/>
      <c r="N928" s="48"/>
    </row>
    <row r="929" spans="2:14" ht="12" customHeight="1" x14ac:dyDescent="0.25">
      <c r="B929" s="103"/>
      <c r="C929" s="538"/>
      <c r="D929" s="488"/>
      <c r="E929" s="336"/>
      <c r="F929" s="459"/>
      <c r="G929" s="459"/>
      <c r="H929" s="646"/>
      <c r="I929" s="647"/>
      <c r="J929" s="488"/>
      <c r="K929" s="460"/>
      <c r="L929" s="504"/>
      <c r="M929" s="462"/>
      <c r="N929" s="48"/>
    </row>
    <row r="930" spans="2:14" ht="12" customHeight="1" x14ac:dyDescent="0.25">
      <c r="B930" s="103"/>
      <c r="C930" s="538"/>
      <c r="D930" s="488"/>
      <c r="E930" s="336"/>
      <c r="F930" s="459"/>
      <c r="G930" s="459"/>
      <c r="H930" s="646"/>
      <c r="I930" s="647"/>
      <c r="J930" s="488"/>
      <c r="K930" s="460"/>
      <c r="L930" s="504"/>
      <c r="M930" s="462"/>
      <c r="N930" s="48"/>
    </row>
    <row r="931" spans="2:14" ht="12" customHeight="1" x14ac:dyDescent="0.25">
      <c r="B931" s="103"/>
      <c r="C931" s="538"/>
      <c r="D931" s="488"/>
      <c r="E931" s="336"/>
      <c r="F931" s="459"/>
      <c r="G931" s="459"/>
      <c r="H931" s="646"/>
      <c r="I931" s="647"/>
      <c r="J931" s="488"/>
      <c r="K931" s="460"/>
      <c r="L931" s="504"/>
      <c r="M931" s="462"/>
      <c r="N931" s="48"/>
    </row>
    <row r="932" spans="2:14" ht="12" customHeight="1" x14ac:dyDescent="0.25">
      <c r="B932" s="103"/>
      <c r="C932" s="538"/>
      <c r="D932" s="488"/>
      <c r="E932" s="336"/>
      <c r="F932" s="459"/>
      <c r="G932" s="459"/>
      <c r="H932" s="646"/>
      <c r="I932" s="647"/>
      <c r="J932" s="488"/>
      <c r="K932" s="460"/>
      <c r="L932" s="504"/>
      <c r="M932" s="462"/>
      <c r="N932" s="48"/>
    </row>
    <row r="933" spans="2:14" ht="12" customHeight="1" x14ac:dyDescent="0.25">
      <c r="B933" s="103"/>
      <c r="C933" s="538"/>
      <c r="D933" s="488"/>
      <c r="E933" s="336"/>
      <c r="F933" s="459"/>
      <c r="G933" s="459"/>
      <c r="H933" s="646"/>
      <c r="I933" s="647"/>
      <c r="J933" s="488"/>
      <c r="K933" s="460"/>
      <c r="L933" s="504"/>
      <c r="M933" s="462"/>
      <c r="N933" s="48"/>
    </row>
    <row r="934" spans="2:14" ht="12" customHeight="1" x14ac:dyDescent="0.25">
      <c r="B934" s="103"/>
      <c r="C934" s="538"/>
      <c r="D934" s="488"/>
      <c r="E934" s="336"/>
      <c r="F934" s="459"/>
      <c r="G934" s="459"/>
      <c r="H934" s="646"/>
      <c r="I934" s="647"/>
      <c r="J934" s="488"/>
      <c r="K934" s="460"/>
      <c r="L934" s="504"/>
      <c r="M934" s="462"/>
      <c r="N934" s="48"/>
    </row>
    <row r="935" spans="2:14" ht="12" customHeight="1" x14ac:dyDescent="0.25">
      <c r="B935" s="103"/>
      <c r="C935" s="538"/>
      <c r="D935" s="488"/>
      <c r="E935" s="336"/>
      <c r="F935" s="459"/>
      <c r="G935" s="459"/>
      <c r="H935" s="646"/>
      <c r="I935" s="647"/>
      <c r="J935" s="488"/>
      <c r="K935" s="460"/>
      <c r="L935" s="504"/>
      <c r="M935" s="462"/>
      <c r="N935" s="48"/>
    </row>
    <row r="936" spans="2:14" ht="12" customHeight="1" x14ac:dyDescent="0.25">
      <c r="B936" s="103"/>
      <c r="C936" s="538"/>
      <c r="D936" s="488"/>
      <c r="E936" s="336"/>
      <c r="F936" s="459"/>
      <c r="G936" s="459"/>
      <c r="H936" s="646"/>
      <c r="I936" s="647"/>
      <c r="J936" s="488"/>
      <c r="K936" s="460"/>
      <c r="L936" s="504"/>
      <c r="M936" s="462"/>
      <c r="N936" s="48"/>
    </row>
    <row r="937" spans="2:14" ht="12" customHeight="1" x14ac:dyDescent="0.25">
      <c r="B937" s="103"/>
      <c r="C937" s="538"/>
      <c r="D937" s="488"/>
      <c r="E937" s="336"/>
      <c r="F937" s="459"/>
      <c r="G937" s="459"/>
      <c r="H937" s="646"/>
      <c r="I937" s="647"/>
      <c r="J937" s="488"/>
      <c r="K937" s="460"/>
      <c r="L937" s="504"/>
      <c r="M937" s="462"/>
      <c r="N937" s="48"/>
    </row>
    <row r="938" spans="2:14" ht="12" customHeight="1" x14ac:dyDescent="0.25">
      <c r="B938" s="103"/>
      <c r="C938" s="538"/>
      <c r="D938" s="488"/>
      <c r="E938" s="336"/>
      <c r="F938" s="459"/>
      <c r="G938" s="459"/>
      <c r="H938" s="646"/>
      <c r="I938" s="647"/>
      <c r="J938" s="488"/>
      <c r="K938" s="460"/>
      <c r="L938" s="504"/>
      <c r="M938" s="462"/>
      <c r="N938" s="48"/>
    </row>
    <row r="939" spans="2:14" ht="12" customHeight="1" x14ac:dyDescent="0.25">
      <c r="B939" s="103"/>
      <c r="C939" s="538"/>
      <c r="D939" s="488"/>
      <c r="E939" s="336"/>
      <c r="F939" s="459"/>
      <c r="G939" s="459"/>
      <c r="H939" s="646"/>
      <c r="I939" s="647"/>
      <c r="J939" s="488"/>
      <c r="K939" s="460"/>
      <c r="L939" s="504"/>
      <c r="M939" s="462"/>
      <c r="N939" s="48"/>
    </row>
    <row r="940" spans="2:14" ht="12" customHeight="1" x14ac:dyDescent="0.25">
      <c r="B940" s="103"/>
      <c r="C940" s="538"/>
      <c r="D940" s="488"/>
      <c r="E940" s="336"/>
      <c r="F940" s="459"/>
      <c r="G940" s="459"/>
      <c r="H940" s="646"/>
      <c r="I940" s="647"/>
      <c r="J940" s="488"/>
      <c r="K940" s="460"/>
      <c r="L940" s="504"/>
      <c r="M940" s="462"/>
      <c r="N940" s="48"/>
    </row>
    <row r="941" spans="2:14" ht="12" customHeight="1" x14ac:dyDescent="0.25">
      <c r="B941" s="103"/>
      <c r="C941" s="538"/>
      <c r="D941" s="488"/>
      <c r="E941" s="336"/>
      <c r="F941" s="459"/>
      <c r="G941" s="459"/>
      <c r="H941" s="646"/>
      <c r="I941" s="647"/>
      <c r="J941" s="488"/>
      <c r="K941" s="460"/>
      <c r="L941" s="504"/>
      <c r="M941" s="462"/>
      <c r="N941" s="48"/>
    </row>
    <row r="942" spans="2:14" ht="12" customHeight="1" x14ac:dyDescent="0.25">
      <c r="B942" s="103"/>
      <c r="C942" s="538"/>
      <c r="D942" s="488"/>
      <c r="E942" s="336"/>
      <c r="F942" s="459"/>
      <c r="G942" s="459"/>
      <c r="H942" s="646"/>
      <c r="I942" s="647"/>
      <c r="J942" s="488"/>
      <c r="K942" s="460"/>
      <c r="L942" s="504"/>
      <c r="M942" s="462"/>
      <c r="N942" s="48"/>
    </row>
    <row r="943" spans="2:14" ht="12" customHeight="1" x14ac:dyDescent="0.25">
      <c r="B943" s="103"/>
      <c r="C943" s="538"/>
      <c r="D943" s="488"/>
      <c r="E943" s="336"/>
      <c r="F943" s="459"/>
      <c r="G943" s="459"/>
      <c r="H943" s="646"/>
      <c r="I943" s="647"/>
      <c r="J943" s="488"/>
      <c r="K943" s="460"/>
      <c r="L943" s="504"/>
      <c r="M943" s="462"/>
      <c r="N943" s="48"/>
    </row>
    <row r="944" spans="2:14" ht="6.75" customHeight="1" thickBot="1" x14ac:dyDescent="0.3">
      <c r="B944" s="83"/>
      <c r="C944" s="59"/>
      <c r="D944" s="59"/>
      <c r="E944" s="59"/>
      <c r="F944" s="59"/>
      <c r="G944" s="59"/>
      <c r="H944" s="59"/>
      <c r="I944" s="59"/>
      <c r="J944" s="59"/>
      <c r="K944" s="59"/>
      <c r="L944" s="59"/>
      <c r="M944" s="59"/>
      <c r="N944" s="60"/>
    </row>
    <row r="945" spans="2:14" ht="6.75" customHeight="1" x14ac:dyDescent="0.25">
      <c r="B945" s="78"/>
      <c r="C945" s="78"/>
      <c r="D945" s="78"/>
      <c r="E945" s="78"/>
      <c r="F945" s="78"/>
      <c r="G945" s="78"/>
      <c r="H945" s="78"/>
      <c r="I945" s="78"/>
      <c r="J945" s="78"/>
      <c r="K945" s="78"/>
      <c r="L945" s="78"/>
      <c r="M945" s="78"/>
      <c r="N945" s="78"/>
    </row>
    <row r="946" spans="2:14" s="20" customFormat="1" ht="6.75" customHeight="1" thickBot="1" x14ac:dyDescent="0.3">
      <c r="B946" s="99" t="s">
        <v>321</v>
      </c>
      <c r="C946" s="59"/>
      <c r="D946" s="59"/>
      <c r="E946" s="59"/>
      <c r="F946" s="59"/>
      <c r="G946" s="59"/>
      <c r="H946" s="59"/>
      <c r="I946" s="59"/>
      <c r="J946" s="59"/>
      <c r="K946" s="59"/>
      <c r="L946" s="59"/>
      <c r="M946" s="59"/>
      <c r="N946" s="59"/>
    </row>
    <row r="947" spans="2:14" ht="4.5" customHeight="1" thickBot="1" x14ac:dyDescent="0.3">
      <c r="B947" s="77"/>
      <c r="C947" s="78"/>
      <c r="D947" s="78"/>
      <c r="E947" s="78"/>
      <c r="F947" s="78"/>
      <c r="G947" s="78"/>
      <c r="H947" s="78"/>
      <c r="I947" s="78"/>
      <c r="J947" s="78"/>
      <c r="K947" s="78"/>
      <c r="L947" s="78"/>
      <c r="M947" s="78"/>
      <c r="N947" s="79"/>
    </row>
    <row r="948" spans="2:14" s="6" customFormat="1" ht="30" customHeight="1" thickBot="1" x14ac:dyDescent="0.3">
      <c r="B948" s="84" t="s">
        <v>133</v>
      </c>
      <c r="C948" s="165" t="s">
        <v>781</v>
      </c>
      <c r="D948" s="166"/>
      <c r="E948" s="166"/>
      <c r="F948" s="166"/>
      <c r="G948" s="166"/>
      <c r="H948" s="166"/>
      <c r="I948" s="166"/>
      <c r="J948" s="166"/>
      <c r="K948" s="166"/>
      <c r="L948" s="166"/>
      <c r="M948" s="167"/>
      <c r="N948" s="85"/>
    </row>
    <row r="949" spans="2:14" ht="4.5" customHeight="1" x14ac:dyDescent="0.25">
      <c r="B949" s="103"/>
      <c r="C949" s="340"/>
      <c r="D949" s="340"/>
      <c r="E949" s="340"/>
      <c r="F949" s="340"/>
      <c r="G949" s="340"/>
      <c r="H949" s="340"/>
      <c r="I949" s="340"/>
      <c r="J949" s="340"/>
      <c r="K949" s="340"/>
      <c r="L949" s="341"/>
      <c r="M949" s="341"/>
      <c r="N949" s="48"/>
    </row>
    <row r="950" spans="2:14" ht="49.5" customHeight="1" x14ac:dyDescent="0.25">
      <c r="B950" s="103"/>
      <c r="C950" s="533" t="s">
        <v>113</v>
      </c>
      <c r="D950" s="534"/>
      <c r="E950" s="535"/>
      <c r="F950" s="536" t="s">
        <v>236</v>
      </c>
      <c r="G950" s="537"/>
      <c r="H950" s="536" t="s">
        <v>246</v>
      </c>
      <c r="I950" s="537"/>
      <c r="J950" s="649" t="s">
        <v>247</v>
      </c>
      <c r="K950" s="649"/>
      <c r="L950" s="475"/>
      <c r="M950" s="475"/>
      <c r="N950" s="48"/>
    </row>
    <row r="951" spans="2:14" ht="45.75" customHeight="1" x14ac:dyDescent="0.25">
      <c r="B951" s="103" t="s">
        <v>248</v>
      </c>
      <c r="C951" s="538"/>
      <c r="D951" s="539"/>
      <c r="E951" s="540"/>
      <c r="F951" s="541"/>
      <c r="G951" s="542"/>
      <c r="H951" s="541"/>
      <c r="I951" s="542"/>
      <c r="J951" s="596"/>
      <c r="K951" s="596"/>
      <c r="L951" s="475"/>
      <c r="M951" s="475"/>
      <c r="N951" s="48"/>
    </row>
    <row r="952" spans="2:14" ht="45.75" customHeight="1" x14ac:dyDescent="0.25">
      <c r="B952" s="103" t="s">
        <v>249</v>
      </c>
      <c r="C952" s="538"/>
      <c r="D952" s="539"/>
      <c r="E952" s="540"/>
      <c r="F952" s="541"/>
      <c r="G952" s="542"/>
      <c r="H952" s="541"/>
      <c r="I952" s="542"/>
      <c r="J952" s="596"/>
      <c r="K952" s="596"/>
      <c r="L952" s="475"/>
      <c r="M952" s="475"/>
      <c r="N952" s="48"/>
    </row>
    <row r="953" spans="2:14" ht="45.75" customHeight="1" x14ac:dyDescent="0.25">
      <c r="B953" s="103" t="s">
        <v>250</v>
      </c>
      <c r="C953" s="538"/>
      <c r="D953" s="539"/>
      <c r="E953" s="540"/>
      <c r="F953" s="541"/>
      <c r="G953" s="542"/>
      <c r="H953" s="541"/>
      <c r="I953" s="542"/>
      <c r="J953" s="596"/>
      <c r="K953" s="596"/>
      <c r="L953" s="475"/>
      <c r="M953" s="475"/>
      <c r="N953" s="48"/>
    </row>
    <row r="954" spans="2:14" ht="45.75" customHeight="1" x14ac:dyDescent="0.25">
      <c r="B954" s="103" t="s">
        <v>251</v>
      </c>
      <c r="C954" s="538"/>
      <c r="D954" s="539"/>
      <c r="E954" s="540"/>
      <c r="F954" s="541"/>
      <c r="G954" s="542"/>
      <c r="H954" s="541"/>
      <c r="I954" s="542"/>
      <c r="J954" s="596"/>
      <c r="K954" s="596"/>
      <c r="L954" s="475"/>
      <c r="M954" s="475"/>
      <c r="N954" s="48"/>
    </row>
    <row r="955" spans="2:14" ht="45.75" customHeight="1" x14ac:dyDescent="0.25">
      <c r="B955" s="103" t="s">
        <v>252</v>
      </c>
      <c r="C955" s="538"/>
      <c r="D955" s="539"/>
      <c r="E955" s="540"/>
      <c r="F955" s="541"/>
      <c r="G955" s="542"/>
      <c r="H955" s="541"/>
      <c r="I955" s="542"/>
      <c r="J955" s="596"/>
      <c r="K955" s="596"/>
      <c r="L955" s="475"/>
      <c r="M955" s="475"/>
      <c r="N955" s="48"/>
    </row>
    <row r="956" spans="2:14" ht="45.75" customHeight="1" x14ac:dyDescent="0.25">
      <c r="B956" s="103" t="s">
        <v>253</v>
      </c>
      <c r="C956" s="538"/>
      <c r="D956" s="539"/>
      <c r="E956" s="540"/>
      <c r="F956" s="541"/>
      <c r="G956" s="542"/>
      <c r="H956" s="541"/>
      <c r="I956" s="542"/>
      <c r="J956" s="596"/>
      <c r="K956" s="596"/>
      <c r="L956" s="475"/>
      <c r="M956" s="475"/>
      <c r="N956" s="48"/>
    </row>
    <row r="957" spans="2:14" ht="45.75" customHeight="1" x14ac:dyDescent="0.25">
      <c r="B957" s="103" t="s">
        <v>254</v>
      </c>
      <c r="C957" s="538"/>
      <c r="D957" s="539"/>
      <c r="E957" s="540"/>
      <c r="F957" s="541"/>
      <c r="G957" s="542"/>
      <c r="H957" s="541"/>
      <c r="I957" s="542"/>
      <c r="J957" s="596"/>
      <c r="K957" s="596"/>
      <c r="L957" s="475"/>
      <c r="M957" s="475"/>
      <c r="N957" s="48"/>
    </row>
    <row r="958" spans="2:14" ht="45.75" customHeight="1" x14ac:dyDescent="0.25">
      <c r="B958" s="103" t="s">
        <v>255</v>
      </c>
      <c r="C958" s="538"/>
      <c r="D958" s="539"/>
      <c r="E958" s="540"/>
      <c r="F958" s="541"/>
      <c r="G958" s="542"/>
      <c r="H958" s="541"/>
      <c r="I958" s="542"/>
      <c r="J958" s="596"/>
      <c r="K958" s="596"/>
      <c r="L958" s="475"/>
      <c r="M958" s="475"/>
      <c r="N958" s="48"/>
    </row>
    <row r="959" spans="2:14" ht="45.75" customHeight="1" x14ac:dyDescent="0.25">
      <c r="B959" s="103" t="s">
        <v>256</v>
      </c>
      <c r="C959" s="538"/>
      <c r="D959" s="539"/>
      <c r="E959" s="540"/>
      <c r="F959" s="541"/>
      <c r="G959" s="542"/>
      <c r="H959" s="541"/>
      <c r="I959" s="542"/>
      <c r="J959" s="596"/>
      <c r="K959" s="596"/>
      <c r="L959" s="475"/>
      <c r="M959" s="475"/>
      <c r="N959" s="48"/>
    </row>
    <row r="960" spans="2:14" ht="45.75" customHeight="1" x14ac:dyDescent="0.25">
      <c r="B960" s="103" t="s">
        <v>257</v>
      </c>
      <c r="C960" s="538"/>
      <c r="D960" s="539"/>
      <c r="E960" s="540"/>
      <c r="F960" s="541"/>
      <c r="G960" s="542"/>
      <c r="H960" s="541"/>
      <c r="I960" s="542"/>
      <c r="J960" s="596"/>
      <c r="K960" s="596"/>
      <c r="L960" s="475"/>
      <c r="M960" s="475"/>
      <c r="N960" s="48"/>
    </row>
    <row r="961" spans="2:14" ht="6.75" customHeight="1" thickBot="1" x14ac:dyDescent="0.3">
      <c r="B961" s="83"/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60"/>
    </row>
    <row r="962" spans="2:14" ht="6.75" customHeight="1" x14ac:dyDescent="0.25">
      <c r="B962" s="78"/>
      <c r="C962" s="78"/>
      <c r="D962" s="78"/>
      <c r="E962" s="78"/>
      <c r="F962" s="78"/>
      <c r="G962" s="78"/>
      <c r="H962" s="78"/>
      <c r="I962" s="78"/>
      <c r="J962" s="78"/>
      <c r="K962" s="78"/>
      <c r="L962" s="78"/>
      <c r="M962" s="78"/>
      <c r="N962" s="78"/>
    </row>
    <row r="963" spans="2:14" s="9" customFormat="1" ht="6.75" customHeight="1" thickBot="1" x14ac:dyDescent="0.3">
      <c r="B963" s="99" t="s">
        <v>321</v>
      </c>
    </row>
    <row r="964" spans="2:14" ht="4.5" customHeight="1" thickBot="1" x14ac:dyDescent="0.3">
      <c r="B964" s="77"/>
      <c r="C964" s="78"/>
      <c r="D964" s="78"/>
      <c r="E964" s="78"/>
      <c r="F964" s="78"/>
      <c r="G964" s="78"/>
      <c r="H964" s="78"/>
      <c r="I964" s="78"/>
      <c r="J964" s="78"/>
      <c r="K964" s="78"/>
      <c r="L964" s="78"/>
      <c r="M964" s="78"/>
      <c r="N964" s="79"/>
    </row>
    <row r="965" spans="2:14" s="6" customFormat="1" ht="30" customHeight="1" thickBot="1" x14ac:dyDescent="0.3">
      <c r="B965" s="84" t="s">
        <v>134</v>
      </c>
      <c r="C965" s="165" t="s">
        <v>780</v>
      </c>
      <c r="D965" s="166"/>
      <c r="E965" s="166"/>
      <c r="F965" s="166"/>
      <c r="G965" s="166"/>
      <c r="H965" s="166"/>
      <c r="I965" s="166"/>
      <c r="J965" s="166"/>
      <c r="K965" s="166"/>
      <c r="L965" s="166"/>
      <c r="M965" s="167"/>
      <c r="N965" s="85"/>
    </row>
    <row r="966" spans="2:14" ht="4.5" customHeight="1" x14ac:dyDescent="0.25">
      <c r="B966" s="103"/>
      <c r="C966" s="78"/>
      <c r="D966" s="78"/>
      <c r="E966" s="78"/>
      <c r="F966" s="78"/>
      <c r="G966" s="78"/>
      <c r="H966" s="78"/>
      <c r="I966" s="78"/>
      <c r="J966" s="78"/>
      <c r="K966" s="78"/>
      <c r="L966" s="20"/>
      <c r="M966" s="20"/>
      <c r="N966" s="48"/>
    </row>
    <row r="967" spans="2:14" ht="4.5" customHeight="1" x14ac:dyDescent="0.25">
      <c r="B967" s="103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48"/>
    </row>
    <row r="968" spans="2:14" ht="63" customHeight="1" x14ac:dyDescent="0.25">
      <c r="B968" s="103"/>
      <c r="C968" s="545" t="s">
        <v>95</v>
      </c>
      <c r="D968" s="546"/>
      <c r="E968" s="547"/>
      <c r="F968" s="543" t="s">
        <v>702</v>
      </c>
      <c r="G968" s="544"/>
      <c r="H968" s="595" t="s">
        <v>708</v>
      </c>
      <c r="I968" s="595"/>
      <c r="J968" s="595"/>
      <c r="K968" s="595"/>
      <c r="L968" s="594"/>
      <c r="M968" s="594"/>
      <c r="N968" s="48"/>
    </row>
    <row r="969" spans="2:14" ht="38.25" customHeight="1" x14ac:dyDescent="0.25">
      <c r="B969" s="103" t="s">
        <v>77</v>
      </c>
      <c r="C969" s="565" t="s">
        <v>697</v>
      </c>
      <c r="D969" s="566"/>
      <c r="E969" s="567"/>
      <c r="F969" s="541"/>
      <c r="G969" s="542"/>
      <c r="H969" s="593"/>
      <c r="I969" s="593"/>
      <c r="J969" s="593"/>
      <c r="K969" s="593"/>
      <c r="L969" s="594"/>
      <c r="M969" s="594"/>
      <c r="N969" s="48"/>
    </row>
    <row r="970" spans="2:14" ht="38.25" customHeight="1" x14ac:dyDescent="0.25">
      <c r="B970" s="103" t="s">
        <v>78</v>
      </c>
      <c r="C970" s="565" t="s">
        <v>698</v>
      </c>
      <c r="D970" s="566"/>
      <c r="E970" s="567"/>
      <c r="F970" s="541"/>
      <c r="G970" s="542"/>
      <c r="H970" s="593"/>
      <c r="I970" s="593"/>
      <c r="J970" s="593"/>
      <c r="K970" s="593"/>
      <c r="L970" s="594"/>
      <c r="M970" s="594"/>
      <c r="N970" s="48"/>
    </row>
    <row r="971" spans="2:14" ht="38.25" customHeight="1" x14ac:dyDescent="0.25">
      <c r="B971" s="103" t="s">
        <v>79</v>
      </c>
      <c r="C971" s="565" t="s">
        <v>699</v>
      </c>
      <c r="D971" s="566"/>
      <c r="E971" s="567"/>
      <c r="F971" s="541"/>
      <c r="G971" s="542"/>
      <c r="H971" s="593"/>
      <c r="I971" s="593"/>
      <c r="J971" s="593"/>
      <c r="K971" s="593"/>
      <c r="L971" s="594"/>
      <c r="M971" s="594"/>
      <c r="N971" s="48"/>
    </row>
    <row r="972" spans="2:14" ht="38.25" customHeight="1" x14ac:dyDescent="0.25">
      <c r="B972" s="103" t="s">
        <v>80</v>
      </c>
      <c r="C972" s="565" t="s">
        <v>700</v>
      </c>
      <c r="D972" s="566"/>
      <c r="E972" s="567"/>
      <c r="F972" s="541"/>
      <c r="G972" s="542"/>
      <c r="H972" s="593"/>
      <c r="I972" s="593"/>
      <c r="J972" s="593"/>
      <c r="K972" s="593"/>
      <c r="L972" s="594"/>
      <c r="M972" s="594"/>
      <c r="N972" s="48"/>
    </row>
    <row r="973" spans="2:14" ht="38.25" customHeight="1" x14ac:dyDescent="0.25">
      <c r="B973" s="103" t="s">
        <v>81</v>
      </c>
      <c r="C973" s="565" t="s">
        <v>701</v>
      </c>
      <c r="D973" s="566"/>
      <c r="E973" s="567"/>
      <c r="F973" s="541"/>
      <c r="G973" s="542"/>
      <c r="H973" s="593"/>
      <c r="I973" s="593"/>
      <c r="J973" s="593"/>
      <c r="K973" s="593"/>
      <c r="L973" s="594"/>
      <c r="M973" s="594"/>
      <c r="N973" s="48"/>
    </row>
    <row r="974" spans="2:14" ht="4.5" customHeight="1" thickBot="1" x14ac:dyDescent="0.3">
      <c r="B974" s="58"/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60"/>
    </row>
    <row r="975" spans="2:14" ht="4.5" customHeight="1" x14ac:dyDescent="0.25">
      <c r="B975" s="102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</row>
    <row r="976" spans="2:14" ht="4.5" customHeight="1" thickBot="1" x14ac:dyDescent="0.3">
      <c r="B976" s="99" t="s">
        <v>321</v>
      </c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</row>
    <row r="977" spans="2:14" ht="4.5" customHeight="1" thickBot="1" x14ac:dyDescent="0.3">
      <c r="B977" s="438"/>
      <c r="C977" s="78"/>
      <c r="D977" s="78"/>
      <c r="E977" s="78"/>
      <c r="F977" s="78"/>
      <c r="G977" s="78"/>
      <c r="H977" s="78"/>
      <c r="I977" s="78"/>
      <c r="J977" s="78"/>
      <c r="K977" s="78"/>
      <c r="L977" s="78"/>
      <c r="M977" s="78"/>
      <c r="N977" s="79"/>
    </row>
    <row r="978" spans="2:14" s="6" customFormat="1" ht="30" customHeight="1" thickBot="1" x14ac:dyDescent="0.3">
      <c r="B978" s="84" t="s">
        <v>135</v>
      </c>
      <c r="C978" s="165" t="s">
        <v>749</v>
      </c>
      <c r="D978" s="166"/>
      <c r="E978" s="166"/>
      <c r="F978" s="166"/>
      <c r="G978" s="166"/>
      <c r="H978" s="166"/>
      <c r="I978" s="166"/>
      <c r="J978" s="166"/>
      <c r="K978" s="166"/>
      <c r="L978" s="166"/>
      <c r="M978" s="167"/>
      <c r="N978" s="85"/>
    </row>
    <row r="979" spans="2:14" ht="4.5" customHeight="1" x14ac:dyDescent="0.25">
      <c r="B979" s="103"/>
      <c r="C979" s="78"/>
      <c r="D979" s="78"/>
      <c r="E979" s="78"/>
      <c r="F979" s="78"/>
      <c r="G979" s="78"/>
      <c r="H979" s="78"/>
      <c r="I979" s="78"/>
      <c r="J979" s="78"/>
      <c r="K979" s="78"/>
      <c r="L979" s="20"/>
      <c r="M979" s="20"/>
      <c r="N979" s="48"/>
    </row>
    <row r="980" spans="2:14" ht="63" customHeight="1" x14ac:dyDescent="0.25">
      <c r="B980" s="103" t="s">
        <v>258</v>
      </c>
      <c r="C980" s="471" t="s">
        <v>752</v>
      </c>
      <c r="D980" s="472"/>
      <c r="E980" s="472"/>
      <c r="F980" s="472"/>
      <c r="G980" s="473"/>
      <c r="H980" s="108" t="s">
        <v>145</v>
      </c>
      <c r="I980" s="474" t="s">
        <v>282</v>
      </c>
      <c r="J980" s="474"/>
      <c r="K980" s="474"/>
      <c r="L980" s="475"/>
      <c r="M980" s="475"/>
      <c r="N980" s="48"/>
    </row>
    <row r="981" spans="2:14" ht="41.25" customHeight="1" x14ac:dyDescent="0.25">
      <c r="B981" s="103" t="s">
        <v>259</v>
      </c>
      <c r="C981" s="465"/>
      <c r="D981" s="466"/>
      <c r="E981" s="466"/>
      <c r="F981" s="466"/>
      <c r="G981" s="467"/>
      <c r="H981" s="383"/>
      <c r="I981" s="597"/>
      <c r="J981" s="597"/>
      <c r="K981" s="597"/>
      <c r="L981" s="598"/>
      <c r="M981" s="598"/>
      <c r="N981" s="48"/>
    </row>
    <row r="982" spans="2:14" ht="41.25" customHeight="1" x14ac:dyDescent="0.25">
      <c r="B982" s="103" t="s">
        <v>146</v>
      </c>
      <c r="C982" s="465"/>
      <c r="D982" s="466"/>
      <c r="E982" s="466"/>
      <c r="F982" s="466"/>
      <c r="G982" s="467"/>
      <c r="H982" s="383"/>
      <c r="I982" s="597"/>
      <c r="J982" s="597"/>
      <c r="K982" s="597"/>
      <c r="L982" s="598"/>
      <c r="M982" s="598"/>
      <c r="N982" s="48"/>
    </row>
    <row r="983" spans="2:14" ht="41.25" customHeight="1" x14ac:dyDescent="0.25">
      <c r="B983" s="103" t="s">
        <v>147</v>
      </c>
      <c r="C983" s="465"/>
      <c r="D983" s="466"/>
      <c r="E983" s="466"/>
      <c r="F983" s="466"/>
      <c r="G983" s="467"/>
      <c r="H983" s="383"/>
      <c r="I983" s="597"/>
      <c r="J983" s="597"/>
      <c r="K983" s="597"/>
      <c r="L983" s="598"/>
      <c r="M983" s="598"/>
      <c r="N983" s="48"/>
    </row>
    <row r="984" spans="2:14" ht="41.25" customHeight="1" x14ac:dyDescent="0.25">
      <c r="B984" s="103" t="s">
        <v>148</v>
      </c>
      <c r="C984" s="465"/>
      <c r="D984" s="466"/>
      <c r="E984" s="466"/>
      <c r="F984" s="466"/>
      <c r="G984" s="467"/>
      <c r="H984" s="383"/>
      <c r="I984" s="597"/>
      <c r="J984" s="597"/>
      <c r="K984" s="597"/>
      <c r="L984" s="598"/>
      <c r="M984" s="598"/>
      <c r="N984" s="48"/>
    </row>
    <row r="985" spans="2:14" ht="41.25" customHeight="1" x14ac:dyDescent="0.25">
      <c r="B985" s="103" t="s">
        <v>149</v>
      </c>
      <c r="C985" s="465"/>
      <c r="D985" s="466"/>
      <c r="E985" s="466"/>
      <c r="F985" s="466"/>
      <c r="G985" s="467"/>
      <c r="H985" s="383"/>
      <c r="I985" s="597"/>
      <c r="J985" s="597"/>
      <c r="K985" s="597"/>
      <c r="L985" s="598"/>
      <c r="M985" s="598"/>
      <c r="N985" s="48"/>
    </row>
    <row r="986" spans="2:14" ht="41.25" customHeight="1" x14ac:dyDescent="0.25">
      <c r="B986" s="103" t="s">
        <v>150</v>
      </c>
      <c r="C986" s="465"/>
      <c r="D986" s="466"/>
      <c r="E986" s="466"/>
      <c r="F986" s="466"/>
      <c r="G986" s="467"/>
      <c r="H986" s="383"/>
      <c r="I986" s="597"/>
      <c r="J986" s="597"/>
      <c r="K986" s="597"/>
      <c r="L986" s="598"/>
      <c r="M986" s="598"/>
      <c r="N986" s="48"/>
    </row>
    <row r="987" spans="2:14" ht="41.25" customHeight="1" x14ac:dyDescent="0.25">
      <c r="B987" s="103" t="s">
        <v>151</v>
      </c>
      <c r="C987" s="465"/>
      <c r="D987" s="466"/>
      <c r="E987" s="466"/>
      <c r="F987" s="466"/>
      <c r="G987" s="467"/>
      <c r="H987" s="383"/>
      <c r="I987" s="597"/>
      <c r="J987" s="597"/>
      <c r="K987" s="597"/>
      <c r="L987" s="598"/>
      <c r="M987" s="598"/>
      <c r="N987" s="48"/>
    </row>
    <row r="988" spans="2:14" ht="41.25" customHeight="1" x14ac:dyDescent="0.25">
      <c r="B988" s="103" t="s">
        <v>152</v>
      </c>
      <c r="C988" s="465"/>
      <c r="D988" s="466"/>
      <c r="E988" s="466"/>
      <c r="F988" s="466"/>
      <c r="G988" s="467"/>
      <c r="H988" s="383"/>
      <c r="I988" s="597"/>
      <c r="J988" s="597"/>
      <c r="K988" s="597"/>
      <c r="L988" s="598"/>
      <c r="M988" s="598"/>
      <c r="N988" s="48"/>
    </row>
    <row r="989" spans="2:14" ht="41.25" customHeight="1" x14ac:dyDescent="0.25">
      <c r="B989" s="103" t="s">
        <v>153</v>
      </c>
      <c r="C989" s="465"/>
      <c r="D989" s="466"/>
      <c r="E989" s="466"/>
      <c r="F989" s="466"/>
      <c r="G989" s="467"/>
      <c r="H989" s="383"/>
      <c r="I989" s="597"/>
      <c r="J989" s="597"/>
      <c r="K989" s="597"/>
      <c r="L989" s="598"/>
      <c r="M989" s="598"/>
      <c r="N989" s="48"/>
    </row>
    <row r="990" spans="2:14" ht="41.25" customHeight="1" x14ac:dyDescent="0.25">
      <c r="B990" s="103" t="s">
        <v>154</v>
      </c>
      <c r="C990" s="465"/>
      <c r="D990" s="466"/>
      <c r="E990" s="466"/>
      <c r="F990" s="466"/>
      <c r="G990" s="467"/>
      <c r="H990" s="383"/>
      <c r="I990" s="597"/>
      <c r="J990" s="597"/>
      <c r="K990" s="597"/>
      <c r="L990" s="598"/>
      <c r="M990" s="598"/>
      <c r="N990" s="48"/>
    </row>
    <row r="991" spans="2:14" ht="41.25" customHeight="1" x14ac:dyDescent="0.25">
      <c r="B991" s="103" t="s">
        <v>155</v>
      </c>
      <c r="C991" s="465"/>
      <c r="D991" s="466"/>
      <c r="E991" s="466"/>
      <c r="F991" s="466"/>
      <c r="G991" s="467"/>
      <c r="H991" s="383"/>
      <c r="I991" s="597"/>
      <c r="J991" s="597"/>
      <c r="K991" s="597"/>
      <c r="L991" s="598"/>
      <c r="M991" s="598"/>
      <c r="N991" s="48"/>
    </row>
    <row r="992" spans="2:14" ht="41.25" customHeight="1" x14ac:dyDescent="0.25">
      <c r="B992" s="103" t="s">
        <v>156</v>
      </c>
      <c r="C992" s="465"/>
      <c r="D992" s="466"/>
      <c r="E992" s="466"/>
      <c r="F992" s="466"/>
      <c r="G992" s="467"/>
      <c r="H992" s="383"/>
      <c r="I992" s="597"/>
      <c r="J992" s="597"/>
      <c r="K992" s="597"/>
      <c r="L992" s="598"/>
      <c r="M992" s="598"/>
      <c r="N992" s="48"/>
    </row>
    <row r="993" spans="2:14" ht="41.25" customHeight="1" x14ac:dyDescent="0.25">
      <c r="B993" s="103" t="s">
        <v>157</v>
      </c>
      <c r="C993" s="465"/>
      <c r="D993" s="466"/>
      <c r="E993" s="466"/>
      <c r="F993" s="466"/>
      <c r="G993" s="467"/>
      <c r="H993" s="383"/>
      <c r="I993" s="597"/>
      <c r="J993" s="597"/>
      <c r="K993" s="597"/>
      <c r="L993" s="598"/>
      <c r="M993" s="598"/>
      <c r="N993" s="48"/>
    </row>
    <row r="994" spans="2:14" ht="41.25" customHeight="1" x14ac:dyDescent="0.25">
      <c r="B994" s="103" t="s">
        <v>158</v>
      </c>
      <c r="C994" s="465"/>
      <c r="D994" s="466"/>
      <c r="E994" s="466"/>
      <c r="F994" s="466"/>
      <c r="G994" s="467"/>
      <c r="H994" s="383"/>
      <c r="I994" s="597"/>
      <c r="J994" s="597"/>
      <c r="K994" s="597"/>
      <c r="L994" s="598"/>
      <c r="M994" s="598"/>
      <c r="N994" s="48"/>
    </row>
    <row r="995" spans="2:14" ht="41.25" customHeight="1" x14ac:dyDescent="0.25">
      <c r="B995" s="103" t="s">
        <v>159</v>
      </c>
      <c r="C995" s="465"/>
      <c r="D995" s="466"/>
      <c r="E995" s="466"/>
      <c r="F995" s="466"/>
      <c r="G995" s="467"/>
      <c r="H995" s="383"/>
      <c r="I995" s="597"/>
      <c r="J995" s="597"/>
      <c r="K995" s="597"/>
      <c r="L995" s="598"/>
      <c r="M995" s="598"/>
      <c r="N995" s="48"/>
    </row>
    <row r="996" spans="2:14" ht="41.25" customHeight="1" x14ac:dyDescent="0.25">
      <c r="B996" s="103" t="s">
        <v>160</v>
      </c>
      <c r="C996" s="465"/>
      <c r="D996" s="466"/>
      <c r="E996" s="466"/>
      <c r="F996" s="466"/>
      <c r="G996" s="467"/>
      <c r="H996" s="383"/>
      <c r="I996" s="597"/>
      <c r="J996" s="597"/>
      <c r="K996" s="597"/>
      <c r="L996" s="598"/>
      <c r="M996" s="598"/>
      <c r="N996" s="48"/>
    </row>
    <row r="997" spans="2:14" ht="41.25" customHeight="1" x14ac:dyDescent="0.25">
      <c r="B997" s="103" t="s">
        <v>161</v>
      </c>
      <c r="C997" s="465"/>
      <c r="D997" s="466"/>
      <c r="E997" s="466"/>
      <c r="F997" s="466"/>
      <c r="G997" s="467"/>
      <c r="H997" s="383"/>
      <c r="I997" s="597"/>
      <c r="J997" s="597"/>
      <c r="K997" s="597"/>
      <c r="L997" s="598"/>
      <c r="M997" s="598"/>
      <c r="N997" s="48"/>
    </row>
    <row r="998" spans="2:14" ht="41.25" customHeight="1" x14ac:dyDescent="0.25">
      <c r="B998" s="103" t="s">
        <v>162</v>
      </c>
      <c r="C998" s="465"/>
      <c r="D998" s="466"/>
      <c r="E998" s="466"/>
      <c r="F998" s="466"/>
      <c r="G998" s="467"/>
      <c r="H998" s="383"/>
      <c r="I998" s="597"/>
      <c r="J998" s="597"/>
      <c r="K998" s="597"/>
      <c r="L998" s="598"/>
      <c r="M998" s="598"/>
      <c r="N998" s="48"/>
    </row>
    <row r="999" spans="2:14" ht="41.25" customHeight="1" x14ac:dyDescent="0.25">
      <c r="B999" s="103" t="s">
        <v>163</v>
      </c>
      <c r="C999" s="465"/>
      <c r="D999" s="466"/>
      <c r="E999" s="466"/>
      <c r="F999" s="466"/>
      <c r="G999" s="467"/>
      <c r="H999" s="383"/>
      <c r="I999" s="597"/>
      <c r="J999" s="597"/>
      <c r="K999" s="597"/>
      <c r="L999" s="598"/>
      <c r="M999" s="598"/>
      <c r="N999" s="48"/>
    </row>
    <row r="1000" spans="2:14" ht="41.25" customHeight="1" x14ac:dyDescent="0.25">
      <c r="B1000" s="103" t="s">
        <v>164</v>
      </c>
      <c r="C1000" s="465"/>
      <c r="D1000" s="466"/>
      <c r="E1000" s="466"/>
      <c r="F1000" s="466"/>
      <c r="G1000" s="467"/>
      <c r="H1000" s="383"/>
      <c r="I1000" s="597"/>
      <c r="J1000" s="597"/>
      <c r="K1000" s="597"/>
      <c r="L1000" s="598"/>
      <c r="M1000" s="598"/>
      <c r="N1000" s="48"/>
    </row>
    <row r="1001" spans="2:14" ht="6.75" customHeight="1" thickBot="1" x14ac:dyDescent="0.3">
      <c r="B1001" s="83"/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60"/>
    </row>
    <row r="1002" spans="2:14" ht="6.75" customHeight="1" x14ac:dyDescent="0.25">
      <c r="B1002" s="20"/>
      <c r="C1002" s="20"/>
      <c r="D1002" s="20"/>
      <c r="E1002" s="20"/>
      <c r="F1002" s="20"/>
      <c r="G1002" s="20"/>
      <c r="H1002" s="20"/>
      <c r="I1002" s="20"/>
      <c r="J1002" s="20"/>
      <c r="K1002" s="20"/>
      <c r="L1002" s="20"/>
      <c r="M1002" s="20"/>
      <c r="N1002" s="20"/>
    </row>
    <row r="1003" spans="2:14" s="9" customFormat="1" ht="6.75" customHeight="1" thickBot="1" x14ac:dyDescent="0.3">
      <c r="B1003" s="119" t="s">
        <v>322</v>
      </c>
    </row>
    <row r="1004" spans="2:14" ht="4.5" customHeight="1" thickBot="1" x14ac:dyDescent="0.3">
      <c r="B1004" s="77"/>
      <c r="C1004" s="78"/>
      <c r="D1004" s="78"/>
      <c r="E1004" s="78"/>
      <c r="F1004" s="78"/>
      <c r="G1004" s="78"/>
      <c r="H1004" s="78"/>
      <c r="I1004" s="78"/>
      <c r="J1004" s="78"/>
      <c r="K1004" s="78"/>
      <c r="L1004" s="78"/>
      <c r="M1004" s="78"/>
      <c r="N1004" s="79"/>
    </row>
    <row r="1005" spans="2:14" s="6" customFormat="1" ht="30" customHeight="1" thickBot="1" x14ac:dyDescent="0.3">
      <c r="B1005" s="84" t="s">
        <v>136</v>
      </c>
      <c r="C1005" s="165" t="s">
        <v>750</v>
      </c>
      <c r="D1005" s="166"/>
      <c r="E1005" s="166"/>
      <c r="F1005" s="166"/>
      <c r="G1005" s="166"/>
      <c r="H1005" s="166"/>
      <c r="I1005" s="166"/>
      <c r="J1005" s="166"/>
      <c r="K1005" s="166"/>
      <c r="L1005" s="166"/>
      <c r="M1005" s="167"/>
      <c r="N1005" s="85"/>
    </row>
    <row r="1006" spans="2:14" ht="4.5" customHeight="1" x14ac:dyDescent="0.25">
      <c r="B1006" s="103"/>
      <c r="C1006" s="78"/>
      <c r="D1006" s="78"/>
      <c r="E1006" s="78"/>
      <c r="F1006" s="78"/>
      <c r="G1006" s="78"/>
      <c r="H1006" s="78"/>
      <c r="I1006" s="78"/>
      <c r="J1006" s="78"/>
      <c r="K1006" s="78"/>
      <c r="L1006" s="20"/>
      <c r="M1006" s="20"/>
      <c r="N1006" s="48"/>
    </row>
    <row r="1007" spans="2:14" ht="63" customHeight="1" x14ac:dyDescent="0.25">
      <c r="B1007" s="103" t="s">
        <v>29</v>
      </c>
      <c r="C1007" s="471" t="s">
        <v>28</v>
      </c>
      <c r="D1007" s="472"/>
      <c r="E1007" s="472"/>
      <c r="F1007" s="472"/>
      <c r="G1007" s="473"/>
      <c r="H1007" s="108" t="s">
        <v>717</v>
      </c>
      <c r="I1007" s="108" t="s">
        <v>718</v>
      </c>
      <c r="J1007" s="474" t="s">
        <v>282</v>
      </c>
      <c r="K1007" s="474"/>
      <c r="L1007" s="475"/>
      <c r="M1007" s="475"/>
      <c r="N1007" s="48"/>
    </row>
    <row r="1008" spans="2:14" ht="41.25" customHeight="1" x14ac:dyDescent="0.25">
      <c r="B1008" s="103" t="s">
        <v>30</v>
      </c>
      <c r="C1008" s="565"/>
      <c r="D1008" s="566"/>
      <c r="E1008" s="566"/>
      <c r="F1008" s="566"/>
      <c r="G1008" s="567"/>
      <c r="H1008" s="383"/>
      <c r="I1008" s="118"/>
      <c r="J1008" s="597"/>
      <c r="K1008" s="475"/>
      <c r="L1008" s="475"/>
      <c r="M1008" s="475"/>
      <c r="N1008" s="48"/>
    </row>
    <row r="1009" spans="2:14" ht="41.25" customHeight="1" x14ac:dyDescent="0.25">
      <c r="B1009" s="103" t="s">
        <v>31</v>
      </c>
      <c r="C1009" s="565"/>
      <c r="D1009" s="566"/>
      <c r="E1009" s="566"/>
      <c r="F1009" s="566"/>
      <c r="G1009" s="567"/>
      <c r="H1009" s="383"/>
      <c r="I1009" s="118"/>
      <c r="J1009" s="597"/>
      <c r="K1009" s="475"/>
      <c r="L1009" s="475"/>
      <c r="M1009" s="475"/>
      <c r="N1009" s="48"/>
    </row>
    <row r="1010" spans="2:14" ht="41.25" customHeight="1" x14ac:dyDescent="0.25">
      <c r="B1010" s="103" t="s">
        <v>32</v>
      </c>
      <c r="C1010" s="565"/>
      <c r="D1010" s="566"/>
      <c r="E1010" s="566"/>
      <c r="F1010" s="566"/>
      <c r="G1010" s="567"/>
      <c r="H1010" s="383"/>
      <c r="I1010" s="118"/>
      <c r="J1010" s="597"/>
      <c r="K1010" s="475"/>
      <c r="L1010" s="475"/>
      <c r="M1010" s="475"/>
      <c r="N1010" s="48"/>
    </row>
    <row r="1011" spans="2:14" ht="41.25" customHeight="1" x14ac:dyDescent="0.25">
      <c r="B1011" s="103" t="s">
        <v>33</v>
      </c>
      <c r="C1011" s="565"/>
      <c r="D1011" s="566"/>
      <c r="E1011" s="566"/>
      <c r="F1011" s="566"/>
      <c r="G1011" s="567"/>
      <c r="H1011" s="383"/>
      <c r="I1011" s="118"/>
      <c r="J1011" s="597"/>
      <c r="K1011" s="475"/>
      <c r="L1011" s="475"/>
      <c r="M1011" s="475"/>
      <c r="N1011" s="48"/>
    </row>
    <row r="1012" spans="2:14" ht="41.25" customHeight="1" x14ac:dyDescent="0.25">
      <c r="B1012" s="103" t="s">
        <v>34</v>
      </c>
      <c r="C1012" s="565"/>
      <c r="D1012" s="566"/>
      <c r="E1012" s="566"/>
      <c r="F1012" s="566"/>
      <c r="G1012" s="567"/>
      <c r="H1012" s="383"/>
      <c r="I1012" s="118"/>
      <c r="J1012" s="597"/>
      <c r="K1012" s="475"/>
      <c r="L1012" s="475"/>
      <c r="M1012" s="475"/>
      <c r="N1012" s="48"/>
    </row>
    <row r="1013" spans="2:14" ht="41.25" customHeight="1" x14ac:dyDescent="0.25">
      <c r="B1013" s="103" t="s">
        <v>35</v>
      </c>
      <c r="C1013" s="565"/>
      <c r="D1013" s="566"/>
      <c r="E1013" s="566"/>
      <c r="F1013" s="566"/>
      <c r="G1013" s="567"/>
      <c r="H1013" s="383"/>
      <c r="I1013" s="118"/>
      <c r="J1013" s="597"/>
      <c r="K1013" s="475"/>
      <c r="L1013" s="475"/>
      <c r="M1013" s="475"/>
      <c r="N1013" s="48"/>
    </row>
    <row r="1014" spans="2:14" ht="41.25" customHeight="1" x14ac:dyDescent="0.25">
      <c r="B1014" s="103" t="s">
        <v>36</v>
      </c>
      <c r="C1014" s="565"/>
      <c r="D1014" s="566"/>
      <c r="E1014" s="566"/>
      <c r="F1014" s="566"/>
      <c r="G1014" s="567"/>
      <c r="H1014" s="383"/>
      <c r="I1014" s="118"/>
      <c r="J1014" s="597"/>
      <c r="K1014" s="475"/>
      <c r="L1014" s="475"/>
      <c r="M1014" s="475"/>
      <c r="N1014" s="48"/>
    </row>
    <row r="1015" spans="2:14" ht="41.25" customHeight="1" x14ac:dyDescent="0.25">
      <c r="B1015" s="103" t="s">
        <v>37</v>
      </c>
      <c r="C1015" s="565"/>
      <c r="D1015" s="566"/>
      <c r="E1015" s="566"/>
      <c r="F1015" s="566"/>
      <c r="G1015" s="567"/>
      <c r="H1015" s="383"/>
      <c r="I1015" s="118"/>
      <c r="J1015" s="597"/>
      <c r="K1015" s="475"/>
      <c r="L1015" s="475"/>
      <c r="M1015" s="475"/>
      <c r="N1015" s="48"/>
    </row>
    <row r="1016" spans="2:14" ht="41.25" customHeight="1" x14ac:dyDescent="0.25">
      <c r="B1016" s="103" t="s">
        <v>38</v>
      </c>
      <c r="C1016" s="565"/>
      <c r="D1016" s="566"/>
      <c r="E1016" s="566"/>
      <c r="F1016" s="566"/>
      <c r="G1016" s="567"/>
      <c r="H1016" s="383"/>
      <c r="I1016" s="118"/>
      <c r="J1016" s="597"/>
      <c r="K1016" s="475"/>
      <c r="L1016" s="475"/>
      <c r="M1016" s="475"/>
      <c r="N1016" s="48"/>
    </row>
    <row r="1017" spans="2:14" ht="41.25" customHeight="1" x14ac:dyDescent="0.25">
      <c r="B1017" s="103" t="s">
        <v>39</v>
      </c>
      <c r="C1017" s="565"/>
      <c r="D1017" s="566"/>
      <c r="E1017" s="566"/>
      <c r="F1017" s="566"/>
      <c r="G1017" s="567"/>
      <c r="H1017" s="383"/>
      <c r="I1017" s="118"/>
      <c r="J1017" s="597"/>
      <c r="K1017" s="475"/>
      <c r="L1017" s="475"/>
      <c r="M1017" s="475"/>
      <c r="N1017" s="48"/>
    </row>
    <row r="1018" spans="2:14" ht="4.5" customHeight="1" x14ac:dyDescent="0.25">
      <c r="B1018" s="103"/>
      <c r="C1018" s="20"/>
      <c r="D1018" s="20"/>
      <c r="E1018" s="20"/>
      <c r="F1018" s="20"/>
      <c r="G1018" s="20"/>
      <c r="H1018" s="20"/>
      <c r="I1018" s="20"/>
      <c r="J1018" s="20"/>
      <c r="K1018" s="20"/>
      <c r="L1018" s="20"/>
      <c r="M1018" s="20"/>
      <c r="N1018" s="48"/>
    </row>
    <row r="1019" spans="2:14" ht="4.5" customHeight="1" x14ac:dyDescent="0.25">
      <c r="B1019" s="100" t="s">
        <v>322</v>
      </c>
      <c r="C1019" s="88"/>
      <c r="D1019" s="88"/>
      <c r="E1019" s="88"/>
      <c r="F1019" s="88"/>
      <c r="G1019" s="88"/>
      <c r="H1019" s="88"/>
      <c r="I1019" s="88"/>
      <c r="J1019" s="88"/>
      <c r="K1019" s="88"/>
      <c r="L1019" s="20"/>
      <c r="M1019" s="20"/>
      <c r="N1019" s="48"/>
    </row>
    <row r="1020" spans="2:14" ht="31.5" customHeight="1" x14ac:dyDescent="0.25">
      <c r="B1020" s="103" t="s">
        <v>40</v>
      </c>
      <c r="C1020" s="608" t="s">
        <v>56</v>
      </c>
      <c r="D1020" s="608"/>
      <c r="E1020" s="608"/>
      <c r="F1020" s="608"/>
      <c r="G1020" s="608"/>
      <c r="H1020" s="608"/>
      <c r="I1020" s="608"/>
      <c r="J1020" s="608"/>
      <c r="K1020" s="608"/>
      <c r="L1020" s="162"/>
      <c r="M1020" s="162"/>
      <c r="N1020" s="48"/>
    </row>
    <row r="1021" spans="2:14" ht="14.25" customHeight="1" x14ac:dyDescent="0.25">
      <c r="B1021" s="599" t="s">
        <v>41</v>
      </c>
      <c r="C1021" s="600" t="s">
        <v>57</v>
      </c>
      <c r="D1021" s="601"/>
      <c r="E1021" s="601"/>
      <c r="F1021" s="602"/>
      <c r="G1021" s="606" t="s">
        <v>43</v>
      </c>
      <c r="H1021" s="607"/>
      <c r="I1021" s="607"/>
      <c r="J1021" s="607"/>
      <c r="K1021" s="631" t="s">
        <v>144</v>
      </c>
      <c r="L1021" s="163"/>
      <c r="M1021" s="163"/>
      <c r="N1021" s="48"/>
    </row>
    <row r="1022" spans="2:14" ht="14.25" customHeight="1" x14ac:dyDescent="0.25">
      <c r="B1022" s="599"/>
      <c r="C1022" s="603"/>
      <c r="D1022" s="604"/>
      <c r="E1022" s="604"/>
      <c r="F1022" s="605"/>
      <c r="G1022" s="93" t="s">
        <v>44</v>
      </c>
      <c r="H1022" s="93" t="s">
        <v>45</v>
      </c>
      <c r="I1022" s="93" t="s">
        <v>46</v>
      </c>
      <c r="J1022" s="93" t="s">
        <v>47</v>
      </c>
      <c r="K1022" s="632"/>
      <c r="L1022" s="163"/>
      <c r="M1022" s="163"/>
      <c r="N1022" s="48"/>
    </row>
    <row r="1023" spans="2:14" ht="21.75" customHeight="1" x14ac:dyDescent="0.25">
      <c r="B1023" s="103"/>
      <c r="C1023" s="528" t="s">
        <v>48</v>
      </c>
      <c r="D1023" s="529"/>
      <c r="E1023" s="529"/>
      <c r="F1023" s="530"/>
      <c r="G1023" s="333"/>
      <c r="H1023" s="333"/>
      <c r="I1023" s="333"/>
      <c r="J1023" s="333"/>
      <c r="K1023" s="135">
        <f>SUM(G1023:J1023)</f>
        <v>0</v>
      </c>
      <c r="L1023" s="163"/>
      <c r="M1023" s="163"/>
      <c r="N1023" s="48"/>
    </row>
    <row r="1024" spans="2:14" ht="21.75" customHeight="1" x14ac:dyDescent="0.25">
      <c r="B1024" s="103"/>
      <c r="C1024" s="528" t="s">
        <v>49</v>
      </c>
      <c r="D1024" s="529"/>
      <c r="E1024" s="529"/>
      <c r="F1024" s="530"/>
      <c r="G1024" s="333"/>
      <c r="H1024" s="333"/>
      <c r="I1024" s="333"/>
      <c r="J1024" s="333"/>
      <c r="K1024" s="135">
        <f t="shared" ref="K1024:K1030" si="20">SUM(G1024:J1024)</f>
        <v>0</v>
      </c>
      <c r="L1024" s="163"/>
      <c r="M1024" s="163"/>
      <c r="N1024" s="48"/>
    </row>
    <row r="1025" spans="2:14" ht="21.75" customHeight="1" x14ac:dyDescent="0.25">
      <c r="B1025" s="103"/>
      <c r="C1025" s="528" t="s">
        <v>50</v>
      </c>
      <c r="D1025" s="529"/>
      <c r="E1025" s="529"/>
      <c r="F1025" s="530"/>
      <c r="G1025" s="333"/>
      <c r="H1025" s="333"/>
      <c r="I1025" s="333"/>
      <c r="J1025" s="333"/>
      <c r="K1025" s="135">
        <f t="shared" si="20"/>
        <v>0</v>
      </c>
      <c r="L1025" s="163"/>
      <c r="M1025" s="163"/>
      <c r="N1025" s="48"/>
    </row>
    <row r="1026" spans="2:14" ht="21.75" customHeight="1" x14ac:dyDescent="0.25">
      <c r="B1026" s="103"/>
      <c r="C1026" s="525" t="s">
        <v>51</v>
      </c>
      <c r="D1026" s="526"/>
      <c r="E1026" s="526"/>
      <c r="F1026" s="527"/>
      <c r="G1026" s="333"/>
      <c r="H1026" s="333"/>
      <c r="I1026" s="333"/>
      <c r="J1026" s="333"/>
      <c r="K1026" s="135">
        <f t="shared" si="20"/>
        <v>0</v>
      </c>
      <c r="L1026" s="163"/>
      <c r="M1026" s="163"/>
      <c r="N1026" s="48"/>
    </row>
    <row r="1027" spans="2:14" ht="21.75" customHeight="1" x14ac:dyDescent="0.25">
      <c r="B1027" s="103"/>
      <c r="C1027" s="525" t="s">
        <v>51</v>
      </c>
      <c r="D1027" s="526"/>
      <c r="E1027" s="526"/>
      <c r="F1027" s="527"/>
      <c r="G1027" s="333"/>
      <c r="H1027" s="333"/>
      <c r="I1027" s="333"/>
      <c r="J1027" s="333"/>
      <c r="K1027" s="135">
        <f t="shared" si="20"/>
        <v>0</v>
      </c>
      <c r="L1027" s="163"/>
      <c r="M1027" s="163"/>
      <c r="N1027" s="48"/>
    </row>
    <row r="1028" spans="2:14" ht="21.75" customHeight="1" x14ac:dyDescent="0.25">
      <c r="B1028" s="103"/>
      <c r="C1028" s="525" t="s">
        <v>51</v>
      </c>
      <c r="D1028" s="526"/>
      <c r="E1028" s="526"/>
      <c r="F1028" s="527"/>
      <c r="G1028" s="333"/>
      <c r="H1028" s="333"/>
      <c r="I1028" s="333"/>
      <c r="J1028" s="333"/>
      <c r="K1028" s="135">
        <f t="shared" si="20"/>
        <v>0</v>
      </c>
      <c r="L1028" s="163"/>
      <c r="M1028" s="163"/>
      <c r="N1028" s="48"/>
    </row>
    <row r="1029" spans="2:14" ht="21.75" customHeight="1" x14ac:dyDescent="0.25">
      <c r="B1029" s="103"/>
      <c r="C1029" s="525" t="s">
        <v>51</v>
      </c>
      <c r="D1029" s="526"/>
      <c r="E1029" s="526"/>
      <c r="F1029" s="527"/>
      <c r="G1029" s="333"/>
      <c r="H1029" s="333"/>
      <c r="I1029" s="333"/>
      <c r="J1029" s="333"/>
      <c r="K1029" s="135">
        <f t="shared" si="20"/>
        <v>0</v>
      </c>
      <c r="L1029" s="163"/>
      <c r="M1029" s="163"/>
      <c r="N1029" s="48"/>
    </row>
    <row r="1030" spans="2:14" ht="21.75" customHeight="1" x14ac:dyDescent="0.25">
      <c r="B1030" s="103"/>
      <c r="C1030" s="528" t="s">
        <v>144</v>
      </c>
      <c r="D1030" s="529"/>
      <c r="E1030" s="529"/>
      <c r="F1030" s="530"/>
      <c r="G1030" s="334">
        <f>SUM(G1023:G1029)</f>
        <v>0</v>
      </c>
      <c r="H1030" s="334">
        <f>SUM(H1023:H1029)</f>
        <v>0</v>
      </c>
      <c r="I1030" s="334">
        <f>SUM(I1023:I1029)</f>
        <v>0</v>
      </c>
      <c r="J1030" s="334">
        <f>SUM(J1023:J1029)</f>
        <v>0</v>
      </c>
      <c r="K1030" s="135">
        <f t="shared" si="20"/>
        <v>0</v>
      </c>
      <c r="L1030" s="163"/>
      <c r="M1030" s="163"/>
      <c r="N1030" s="48"/>
    </row>
    <row r="1031" spans="2:14" s="9" customFormat="1" ht="14.25" customHeight="1" x14ac:dyDescent="0.25">
      <c r="B1031" s="599" t="s">
        <v>42</v>
      </c>
      <c r="C1031" s="600" t="s">
        <v>58</v>
      </c>
      <c r="D1031" s="601"/>
      <c r="E1031" s="601"/>
      <c r="F1031" s="602"/>
      <c r="G1031" s="606" t="s">
        <v>43</v>
      </c>
      <c r="H1031" s="607"/>
      <c r="I1031" s="607"/>
      <c r="J1031" s="607"/>
      <c r="K1031" s="563"/>
      <c r="L1031" s="163"/>
      <c r="M1031" s="163"/>
      <c r="N1031" s="10"/>
    </row>
    <row r="1032" spans="2:14" s="9" customFormat="1" ht="14.25" customHeight="1" x14ac:dyDescent="0.25">
      <c r="B1032" s="599"/>
      <c r="C1032" s="603"/>
      <c r="D1032" s="604"/>
      <c r="E1032" s="604"/>
      <c r="F1032" s="605"/>
      <c r="G1032" s="93" t="s">
        <v>44</v>
      </c>
      <c r="H1032" s="93" t="s">
        <v>45</v>
      </c>
      <c r="I1032" s="93" t="s">
        <v>46</v>
      </c>
      <c r="J1032" s="93" t="s">
        <v>47</v>
      </c>
      <c r="K1032" s="564"/>
      <c r="L1032" s="163"/>
      <c r="M1032" s="163"/>
      <c r="N1032" s="10"/>
    </row>
    <row r="1033" spans="2:14" ht="21.75" customHeight="1" x14ac:dyDescent="0.25">
      <c r="B1033" s="103"/>
      <c r="C1033" s="528" t="s">
        <v>52</v>
      </c>
      <c r="D1033" s="529"/>
      <c r="E1033" s="529"/>
      <c r="F1033" s="530"/>
      <c r="G1033" s="333"/>
      <c r="H1033" s="333"/>
      <c r="I1033" s="333"/>
      <c r="J1033" s="333"/>
      <c r="K1033" s="135">
        <f t="shared" ref="K1033:K1041" si="21">SUM(G1033:J1033)</f>
        <v>0</v>
      </c>
      <c r="L1033" s="163"/>
      <c r="M1033" s="163"/>
      <c r="N1033" s="48"/>
    </row>
    <row r="1034" spans="2:14" ht="21.75" customHeight="1" x14ac:dyDescent="0.25">
      <c r="B1034" s="103"/>
      <c r="C1034" s="528" t="s">
        <v>53</v>
      </c>
      <c r="D1034" s="529"/>
      <c r="E1034" s="529"/>
      <c r="F1034" s="530"/>
      <c r="G1034" s="333"/>
      <c r="H1034" s="333"/>
      <c r="I1034" s="333"/>
      <c r="J1034" s="333"/>
      <c r="K1034" s="135">
        <f t="shared" si="21"/>
        <v>0</v>
      </c>
      <c r="L1034" s="163"/>
      <c r="M1034" s="163"/>
      <c r="N1034" s="48"/>
    </row>
    <row r="1035" spans="2:14" ht="21.75" customHeight="1" x14ac:dyDescent="0.25">
      <c r="B1035" s="103"/>
      <c r="C1035" s="528" t="s">
        <v>54</v>
      </c>
      <c r="D1035" s="529"/>
      <c r="E1035" s="529"/>
      <c r="F1035" s="530"/>
      <c r="G1035" s="333"/>
      <c r="H1035" s="333"/>
      <c r="I1035" s="333"/>
      <c r="J1035" s="333"/>
      <c r="K1035" s="135">
        <f t="shared" si="21"/>
        <v>0</v>
      </c>
      <c r="L1035" s="163"/>
      <c r="M1035" s="163"/>
      <c r="N1035" s="48"/>
    </row>
    <row r="1036" spans="2:14" ht="21.75" customHeight="1" x14ac:dyDescent="0.25">
      <c r="B1036" s="103"/>
      <c r="C1036" s="528" t="s">
        <v>55</v>
      </c>
      <c r="D1036" s="529"/>
      <c r="E1036" s="529"/>
      <c r="F1036" s="530"/>
      <c r="G1036" s="333"/>
      <c r="H1036" s="333"/>
      <c r="I1036" s="333"/>
      <c r="J1036" s="333"/>
      <c r="K1036" s="135">
        <f t="shared" si="21"/>
        <v>0</v>
      </c>
      <c r="L1036" s="163"/>
      <c r="M1036" s="163"/>
      <c r="N1036" s="48"/>
    </row>
    <row r="1037" spans="2:14" ht="21.75" customHeight="1" x14ac:dyDescent="0.25">
      <c r="B1037" s="103"/>
      <c r="C1037" s="525" t="s">
        <v>51</v>
      </c>
      <c r="D1037" s="526"/>
      <c r="E1037" s="526"/>
      <c r="F1037" s="527"/>
      <c r="G1037" s="333"/>
      <c r="H1037" s="333"/>
      <c r="I1037" s="333"/>
      <c r="J1037" s="333"/>
      <c r="K1037" s="135">
        <f t="shared" si="21"/>
        <v>0</v>
      </c>
      <c r="L1037" s="163"/>
      <c r="M1037" s="163"/>
      <c r="N1037" s="48"/>
    </row>
    <row r="1038" spans="2:14" ht="21.75" customHeight="1" x14ac:dyDescent="0.25">
      <c r="B1038" s="103"/>
      <c r="C1038" s="525" t="s">
        <v>51</v>
      </c>
      <c r="D1038" s="526"/>
      <c r="E1038" s="526"/>
      <c r="F1038" s="527"/>
      <c r="G1038" s="333"/>
      <c r="H1038" s="333"/>
      <c r="I1038" s="333"/>
      <c r="J1038" s="333"/>
      <c r="K1038" s="135">
        <f t="shared" si="21"/>
        <v>0</v>
      </c>
      <c r="L1038" s="163"/>
      <c r="M1038" s="163"/>
      <c r="N1038" s="48"/>
    </row>
    <row r="1039" spans="2:14" ht="21.75" customHeight="1" x14ac:dyDescent="0.25">
      <c r="B1039" s="103"/>
      <c r="C1039" s="525" t="s">
        <v>51</v>
      </c>
      <c r="D1039" s="526"/>
      <c r="E1039" s="526"/>
      <c r="F1039" s="527"/>
      <c r="G1039" s="333"/>
      <c r="H1039" s="333"/>
      <c r="I1039" s="333"/>
      <c r="J1039" s="333"/>
      <c r="K1039" s="135">
        <f t="shared" si="21"/>
        <v>0</v>
      </c>
      <c r="L1039" s="163"/>
      <c r="M1039" s="163"/>
      <c r="N1039" s="48"/>
    </row>
    <row r="1040" spans="2:14" ht="21.75" customHeight="1" x14ac:dyDescent="0.25">
      <c r="B1040" s="103"/>
      <c r="C1040" s="525" t="s">
        <v>51</v>
      </c>
      <c r="D1040" s="526"/>
      <c r="E1040" s="526"/>
      <c r="F1040" s="527"/>
      <c r="G1040" s="333"/>
      <c r="H1040" s="333"/>
      <c r="I1040" s="333"/>
      <c r="J1040" s="333"/>
      <c r="K1040" s="135">
        <f t="shared" si="21"/>
        <v>0</v>
      </c>
      <c r="L1040" s="163"/>
      <c r="M1040" s="163"/>
      <c r="N1040" s="48"/>
    </row>
    <row r="1041" spans="2:14" ht="21.75" customHeight="1" x14ac:dyDescent="0.25">
      <c r="B1041" s="103"/>
      <c r="C1041" s="528" t="s">
        <v>144</v>
      </c>
      <c r="D1041" s="529"/>
      <c r="E1041" s="529"/>
      <c r="F1041" s="530"/>
      <c r="G1041" s="334">
        <f>SUM(G1033:G1040)</f>
        <v>0</v>
      </c>
      <c r="H1041" s="334">
        <f>SUM(H1033:H1040)</f>
        <v>0</v>
      </c>
      <c r="I1041" s="334">
        <f>SUM(I1033:I1040)</f>
        <v>0</v>
      </c>
      <c r="J1041" s="334">
        <f>SUM(J1033:J1040)</f>
        <v>0</v>
      </c>
      <c r="K1041" s="135">
        <f t="shared" si="21"/>
        <v>0</v>
      </c>
      <c r="L1041" s="163"/>
      <c r="M1041" s="163"/>
      <c r="N1041" s="48"/>
    </row>
    <row r="1042" spans="2:14" ht="6.75" customHeight="1" x14ac:dyDescent="0.25">
      <c r="B1042" s="87"/>
      <c r="C1042" s="20"/>
      <c r="D1042" s="20"/>
      <c r="E1042" s="20"/>
      <c r="F1042" s="20"/>
      <c r="G1042" s="20"/>
      <c r="H1042" s="20"/>
      <c r="I1042" s="20"/>
      <c r="J1042" s="20"/>
      <c r="K1042" s="20"/>
      <c r="L1042" s="20"/>
      <c r="M1042" s="20"/>
      <c r="N1042" s="48"/>
    </row>
    <row r="1043" spans="2:14" s="9" customFormat="1" ht="19.5" customHeight="1" x14ac:dyDescent="0.25">
      <c r="B1043" s="95"/>
      <c r="C1043" s="39"/>
      <c r="D1043" s="39"/>
      <c r="E1043" s="39"/>
      <c r="F1043" s="39"/>
      <c r="G1043" s="39"/>
      <c r="H1043" s="39"/>
      <c r="I1043" s="39"/>
      <c r="J1043" s="39"/>
      <c r="K1043" s="39"/>
      <c r="L1043" s="39"/>
      <c r="M1043" s="39"/>
      <c r="N1043" s="40"/>
    </row>
    <row r="1044" spans="2:14" s="9" customFormat="1" ht="19.5" customHeight="1" x14ac:dyDescent="0.25">
      <c r="B1044" s="95"/>
      <c r="C1044" s="39"/>
      <c r="D1044" s="39"/>
      <c r="E1044" s="39"/>
      <c r="F1044" s="39"/>
      <c r="G1044" s="39"/>
      <c r="H1044" s="39"/>
      <c r="I1044" s="39"/>
      <c r="J1044" s="39"/>
      <c r="K1044" s="39"/>
      <c r="L1044" s="39"/>
      <c r="M1044" s="39"/>
      <c r="N1044" s="40"/>
    </row>
    <row r="1045" spans="2:14" s="9" customFormat="1" ht="19.5" customHeight="1" x14ac:dyDescent="0.25">
      <c r="B1045" s="95"/>
      <c r="C1045" s="39"/>
      <c r="D1045" s="39"/>
      <c r="E1045" s="39"/>
      <c r="F1045" s="39"/>
      <c r="G1045" s="39"/>
      <c r="H1045" s="39"/>
      <c r="I1045" s="39"/>
      <c r="J1045" s="39"/>
      <c r="K1045" s="39"/>
      <c r="L1045" s="39"/>
      <c r="M1045" s="39"/>
      <c r="N1045" s="40"/>
    </row>
    <row r="1046" spans="2:14" s="9" customFormat="1" ht="19.5" customHeight="1" x14ac:dyDescent="0.25">
      <c r="B1046" s="95"/>
      <c r="C1046" s="39"/>
      <c r="D1046" s="39"/>
      <c r="E1046" s="39"/>
      <c r="F1046" s="39"/>
      <c r="G1046" s="39"/>
      <c r="H1046" s="39"/>
      <c r="I1046" s="39"/>
      <c r="J1046" s="39"/>
      <c r="K1046" s="39"/>
      <c r="L1046" s="39"/>
      <c r="M1046" s="39"/>
      <c r="N1046" s="40"/>
    </row>
    <row r="1047" spans="2:14" s="9" customFormat="1" ht="19.5" customHeight="1" x14ac:dyDescent="0.25">
      <c r="B1047" s="95"/>
      <c r="C1047" s="39"/>
      <c r="D1047" s="39"/>
      <c r="E1047" s="39"/>
      <c r="F1047" s="39"/>
      <c r="G1047" s="39"/>
      <c r="H1047" s="39"/>
      <c r="I1047" s="39"/>
      <c r="J1047" s="39"/>
      <c r="K1047" s="39"/>
      <c r="L1047" s="39"/>
      <c r="M1047" s="39"/>
      <c r="N1047" s="40"/>
    </row>
    <row r="1048" spans="2:14" ht="6.75" customHeight="1" thickBot="1" x14ac:dyDescent="0.3">
      <c r="B1048" s="83"/>
      <c r="C1048" s="59"/>
      <c r="D1048" s="59"/>
      <c r="E1048" s="59"/>
      <c r="F1048" s="59"/>
      <c r="G1048" s="59"/>
      <c r="H1048" s="59"/>
      <c r="I1048" s="59"/>
      <c r="J1048" s="59"/>
      <c r="K1048" s="59"/>
      <c r="L1048" s="59"/>
      <c r="M1048" s="59"/>
      <c r="N1048" s="60"/>
    </row>
    <row r="1049" spans="2:14" ht="6.75" customHeight="1" x14ac:dyDescent="0.25">
      <c r="B1049" s="20"/>
      <c r="C1049" s="20"/>
      <c r="D1049" s="20"/>
      <c r="E1049" s="20"/>
      <c r="F1049" s="20"/>
      <c r="G1049" s="20"/>
      <c r="H1049" s="20"/>
      <c r="I1049" s="20"/>
      <c r="J1049" s="20"/>
      <c r="K1049" s="20"/>
      <c r="L1049" s="20"/>
      <c r="M1049" s="20"/>
      <c r="N1049" s="20"/>
    </row>
    <row r="1050" spans="2:14" s="9" customFormat="1" ht="6.75" customHeight="1" thickBot="1" x14ac:dyDescent="0.3">
      <c r="B1050" s="101" t="s">
        <v>322</v>
      </c>
    </row>
    <row r="1051" spans="2:14" ht="4.5" customHeight="1" thickBot="1" x14ac:dyDescent="0.3">
      <c r="B1051" s="77"/>
      <c r="C1051" s="78"/>
      <c r="D1051" s="78"/>
      <c r="E1051" s="78"/>
      <c r="F1051" s="78"/>
      <c r="G1051" s="78"/>
      <c r="H1051" s="78"/>
      <c r="I1051" s="78"/>
      <c r="J1051" s="78"/>
      <c r="K1051" s="78"/>
      <c r="L1051" s="78"/>
      <c r="M1051" s="78"/>
      <c r="N1051" s="79"/>
    </row>
    <row r="1052" spans="2:14" s="6" customFormat="1" ht="30" customHeight="1" thickBot="1" x14ac:dyDescent="0.3">
      <c r="B1052" s="84" t="s">
        <v>137</v>
      </c>
      <c r="C1052" s="165" t="s">
        <v>751</v>
      </c>
      <c r="D1052" s="166"/>
      <c r="E1052" s="166"/>
      <c r="F1052" s="166"/>
      <c r="G1052" s="166"/>
      <c r="H1052" s="166"/>
      <c r="I1052" s="166"/>
      <c r="J1052" s="166"/>
      <c r="K1052" s="166"/>
      <c r="L1052" s="166"/>
      <c r="M1052" s="167"/>
      <c r="N1052" s="85"/>
    </row>
    <row r="1053" spans="2:14" ht="4.5" customHeight="1" x14ac:dyDescent="0.25">
      <c r="B1053" s="103"/>
      <c r="C1053" s="78"/>
      <c r="D1053" s="78"/>
      <c r="E1053" s="78"/>
      <c r="F1053" s="78"/>
      <c r="G1053" s="78"/>
      <c r="H1053" s="78"/>
      <c r="I1053" s="78"/>
      <c r="J1053" s="78"/>
      <c r="K1053" s="78"/>
      <c r="L1053" s="20"/>
      <c r="M1053" s="20"/>
      <c r="N1053" s="48"/>
    </row>
    <row r="1054" spans="2:14" ht="36.75" customHeight="1" x14ac:dyDescent="0.25">
      <c r="B1054" s="103" t="s">
        <v>59</v>
      </c>
      <c r="C1054" s="136" t="s">
        <v>60</v>
      </c>
      <c r="D1054" s="137"/>
      <c r="E1054" s="137"/>
      <c r="F1054" s="137"/>
      <c r="G1054" s="137"/>
      <c r="H1054" s="137"/>
      <c r="I1054" s="137"/>
      <c r="J1054" s="137"/>
      <c r="K1054" s="137"/>
      <c r="L1054" s="137"/>
      <c r="M1054" s="138"/>
      <c r="N1054" s="48"/>
    </row>
    <row r="1055" spans="2:14" ht="4.5" customHeight="1" x14ac:dyDescent="0.25">
      <c r="B1055" s="103"/>
      <c r="C1055" s="20"/>
      <c r="D1055" s="20"/>
      <c r="E1055" s="20"/>
      <c r="F1055" s="20"/>
      <c r="G1055" s="20"/>
      <c r="H1055" s="20"/>
      <c r="I1055" s="20"/>
      <c r="J1055" s="20"/>
      <c r="K1055" s="20"/>
      <c r="L1055" s="20"/>
      <c r="M1055" s="20"/>
      <c r="N1055" s="48"/>
    </row>
    <row r="1056" spans="2:14" x14ac:dyDescent="0.25">
      <c r="B1056" s="103"/>
      <c r="C1056" s="20"/>
      <c r="D1056" s="20"/>
      <c r="E1056" s="20"/>
      <c r="F1056" s="20"/>
      <c r="G1056" s="20"/>
      <c r="H1056" s="20"/>
      <c r="I1056" s="20"/>
      <c r="J1056" s="20"/>
      <c r="K1056" s="20"/>
      <c r="L1056" s="20"/>
      <c r="M1056" s="20"/>
      <c r="N1056" s="48"/>
    </row>
    <row r="1057" spans="2:14" x14ac:dyDescent="0.25">
      <c r="B1057" s="103"/>
      <c r="C1057" s="20"/>
      <c r="D1057" s="20"/>
      <c r="E1057" s="20"/>
      <c r="F1057" s="20"/>
      <c r="G1057" s="20"/>
      <c r="H1057" s="20"/>
      <c r="I1057" s="20"/>
      <c r="J1057" s="20"/>
      <c r="K1057" s="20"/>
      <c r="L1057" s="20"/>
      <c r="M1057" s="20"/>
      <c r="N1057" s="48"/>
    </row>
    <row r="1058" spans="2:14" x14ac:dyDescent="0.25">
      <c r="B1058" s="103"/>
      <c r="C1058" s="20"/>
      <c r="D1058" s="20"/>
      <c r="E1058" s="20"/>
      <c r="F1058" s="20"/>
      <c r="G1058" s="20"/>
      <c r="H1058" s="20"/>
      <c r="I1058" s="20"/>
      <c r="J1058" s="20"/>
      <c r="K1058" s="20"/>
      <c r="L1058" s="20"/>
      <c r="M1058" s="20"/>
      <c r="N1058" s="48"/>
    </row>
    <row r="1059" spans="2:14" x14ac:dyDescent="0.25">
      <c r="B1059" s="103"/>
      <c r="C1059" s="20"/>
      <c r="D1059" s="20"/>
      <c r="E1059" s="20"/>
      <c r="F1059" s="20"/>
      <c r="G1059" s="20"/>
      <c r="H1059" s="20"/>
      <c r="I1059" s="20"/>
      <c r="J1059" s="20"/>
      <c r="K1059" s="20"/>
      <c r="L1059" s="20"/>
      <c r="M1059" s="20"/>
      <c r="N1059" s="48"/>
    </row>
    <row r="1060" spans="2:14" x14ac:dyDescent="0.25">
      <c r="B1060" s="103"/>
      <c r="C1060" s="20"/>
      <c r="D1060" s="20"/>
      <c r="E1060" s="20"/>
      <c r="F1060" s="20"/>
      <c r="G1060" s="20"/>
      <c r="H1060" s="20"/>
      <c r="I1060" s="20"/>
      <c r="J1060" s="20"/>
      <c r="K1060" s="20"/>
      <c r="L1060" s="20"/>
      <c r="M1060" s="20"/>
      <c r="N1060" s="48"/>
    </row>
    <row r="1061" spans="2:14" x14ac:dyDescent="0.25">
      <c r="B1061" s="103"/>
      <c r="C1061" s="20"/>
      <c r="D1061" s="20"/>
      <c r="E1061" s="20"/>
      <c r="F1061" s="20"/>
      <c r="G1061" s="20"/>
      <c r="H1061" s="20"/>
      <c r="I1061" s="20"/>
      <c r="J1061" s="20"/>
      <c r="K1061" s="20"/>
      <c r="L1061" s="20"/>
      <c r="M1061" s="20"/>
      <c r="N1061" s="48"/>
    </row>
    <row r="1062" spans="2:14" x14ac:dyDescent="0.25">
      <c r="B1062" s="103"/>
      <c r="C1062" s="20"/>
      <c r="D1062" s="20"/>
      <c r="E1062" s="20"/>
      <c r="F1062" s="20"/>
      <c r="G1062" s="20"/>
      <c r="H1062" s="20"/>
      <c r="I1062" s="20"/>
      <c r="J1062" s="20"/>
      <c r="K1062" s="20"/>
      <c r="L1062" s="20"/>
      <c r="M1062" s="20"/>
      <c r="N1062" s="48"/>
    </row>
    <row r="1063" spans="2:14" x14ac:dyDescent="0.25">
      <c r="B1063" s="103"/>
      <c r="C1063" s="20"/>
      <c r="D1063" s="20"/>
      <c r="E1063" s="20"/>
      <c r="F1063" s="20"/>
      <c r="G1063" s="20"/>
      <c r="H1063" s="20"/>
      <c r="I1063" s="20"/>
      <c r="J1063" s="20"/>
      <c r="K1063" s="20"/>
      <c r="L1063" s="20"/>
      <c r="M1063" s="20"/>
      <c r="N1063" s="48"/>
    </row>
    <row r="1064" spans="2:14" x14ac:dyDescent="0.25">
      <c r="B1064" s="103"/>
      <c r="C1064" s="20"/>
      <c r="D1064" s="20"/>
      <c r="E1064" s="20"/>
      <c r="F1064" s="20"/>
      <c r="G1064" s="20"/>
      <c r="H1064" s="20"/>
      <c r="I1064" s="20"/>
      <c r="J1064" s="20"/>
      <c r="K1064" s="20"/>
      <c r="L1064" s="20"/>
      <c r="M1064" s="20"/>
      <c r="N1064" s="48"/>
    </row>
    <row r="1065" spans="2:14" x14ac:dyDescent="0.25">
      <c r="B1065" s="103"/>
      <c r="C1065" s="20"/>
      <c r="D1065" s="20"/>
      <c r="E1065" s="20"/>
      <c r="F1065" s="20"/>
      <c r="G1065" s="20"/>
      <c r="H1065" s="20"/>
      <c r="I1065" s="20"/>
      <c r="J1065" s="20"/>
      <c r="K1065" s="20"/>
      <c r="L1065" s="20"/>
      <c r="M1065" s="20"/>
      <c r="N1065" s="48"/>
    </row>
    <row r="1066" spans="2:14" x14ac:dyDescent="0.25">
      <c r="B1066" s="103"/>
      <c r="C1066" s="20"/>
      <c r="D1066" s="20"/>
      <c r="E1066" s="20"/>
      <c r="F1066" s="20"/>
      <c r="G1066" s="20"/>
      <c r="H1066" s="20"/>
      <c r="I1066" s="20"/>
      <c r="J1066" s="20"/>
      <c r="K1066" s="20"/>
      <c r="L1066" s="20"/>
      <c r="M1066" s="20"/>
      <c r="N1066" s="48"/>
    </row>
    <row r="1067" spans="2:14" x14ac:dyDescent="0.25">
      <c r="B1067" s="103"/>
      <c r="C1067" s="20"/>
      <c r="D1067" s="20"/>
      <c r="E1067" s="20"/>
      <c r="F1067" s="20"/>
      <c r="G1067" s="20"/>
      <c r="H1067" s="20"/>
      <c r="I1067" s="20"/>
      <c r="J1067" s="20"/>
      <c r="K1067" s="20"/>
      <c r="L1067" s="20"/>
      <c r="M1067" s="20"/>
      <c r="N1067" s="48"/>
    </row>
    <row r="1068" spans="2:14" x14ac:dyDescent="0.25">
      <c r="B1068" s="103"/>
      <c r="C1068" s="20"/>
      <c r="D1068" s="20"/>
      <c r="E1068" s="20"/>
      <c r="F1068" s="20"/>
      <c r="G1068" s="20"/>
      <c r="H1068" s="20"/>
      <c r="I1068" s="20"/>
      <c r="J1068" s="20"/>
      <c r="K1068" s="20"/>
      <c r="L1068" s="20"/>
      <c r="M1068" s="20"/>
      <c r="N1068" s="48"/>
    </row>
    <row r="1069" spans="2:14" x14ac:dyDescent="0.25">
      <c r="B1069" s="103"/>
      <c r="C1069" s="20"/>
      <c r="D1069" s="20"/>
      <c r="E1069" s="20"/>
      <c r="F1069" s="20"/>
      <c r="G1069" s="20"/>
      <c r="H1069" s="20"/>
      <c r="I1069" s="20"/>
      <c r="J1069" s="20"/>
      <c r="K1069" s="20"/>
      <c r="L1069" s="20"/>
      <c r="M1069" s="20"/>
      <c r="N1069" s="48"/>
    </row>
    <row r="1070" spans="2:14" x14ac:dyDescent="0.25">
      <c r="B1070" s="103"/>
      <c r="C1070" s="20"/>
      <c r="D1070" s="20"/>
      <c r="E1070" s="20"/>
      <c r="F1070" s="20"/>
      <c r="G1070" s="20"/>
      <c r="H1070" s="20"/>
      <c r="I1070" s="20"/>
      <c r="J1070" s="20"/>
      <c r="K1070" s="20"/>
      <c r="L1070" s="20"/>
      <c r="M1070" s="20"/>
      <c r="N1070" s="48"/>
    </row>
    <row r="1071" spans="2:14" x14ac:dyDescent="0.25">
      <c r="B1071" s="103"/>
      <c r="C1071" s="20"/>
      <c r="D1071" s="20"/>
      <c r="E1071" s="20"/>
      <c r="F1071" s="20"/>
      <c r="G1071" s="20"/>
      <c r="H1071" s="20"/>
      <c r="I1071" s="20"/>
      <c r="J1071" s="20"/>
      <c r="K1071" s="20"/>
      <c r="L1071" s="20"/>
      <c r="M1071" s="20"/>
      <c r="N1071" s="48"/>
    </row>
    <row r="1072" spans="2:14" x14ac:dyDescent="0.25">
      <c r="B1072" s="103"/>
      <c r="C1072" s="20"/>
      <c r="D1072" s="20"/>
      <c r="E1072" s="20"/>
      <c r="F1072" s="20"/>
      <c r="G1072" s="20"/>
      <c r="H1072" s="20"/>
      <c r="I1072" s="20"/>
      <c r="J1072" s="20"/>
      <c r="K1072" s="20"/>
      <c r="L1072" s="20"/>
      <c r="M1072" s="20"/>
      <c r="N1072" s="48"/>
    </row>
    <row r="1073" spans="2:14" ht="4.5" customHeight="1" x14ac:dyDescent="0.25">
      <c r="B1073" s="103"/>
      <c r="C1073" s="20"/>
      <c r="D1073" s="20"/>
      <c r="E1073" s="20"/>
      <c r="F1073" s="20"/>
      <c r="G1073" s="20"/>
      <c r="H1073" s="20"/>
      <c r="I1073" s="20"/>
      <c r="J1073" s="20"/>
      <c r="K1073" s="20"/>
      <c r="L1073" s="20"/>
      <c r="M1073" s="20"/>
      <c r="N1073" s="48"/>
    </row>
    <row r="1074" spans="2:14" ht="36.75" customHeight="1" x14ac:dyDescent="0.25">
      <c r="B1074" s="103" t="s">
        <v>61</v>
      </c>
      <c r="C1074" s="136" t="s">
        <v>62</v>
      </c>
      <c r="D1074" s="137"/>
      <c r="E1074" s="137"/>
      <c r="F1074" s="137"/>
      <c r="G1074" s="137"/>
      <c r="H1074" s="137"/>
      <c r="I1074" s="137"/>
      <c r="J1074" s="137"/>
      <c r="K1074" s="137"/>
      <c r="L1074" s="137"/>
      <c r="M1074" s="138"/>
      <c r="N1074" s="48"/>
    </row>
    <row r="1075" spans="2:14" ht="4.5" customHeight="1" x14ac:dyDescent="0.25">
      <c r="B1075" s="103"/>
      <c r="C1075" s="20"/>
      <c r="D1075" s="20"/>
      <c r="E1075" s="20"/>
      <c r="F1075" s="20"/>
      <c r="G1075" s="20"/>
      <c r="H1075" s="20"/>
      <c r="I1075" s="20"/>
      <c r="J1075" s="20"/>
      <c r="K1075" s="20"/>
      <c r="L1075" s="20"/>
      <c r="M1075" s="20"/>
      <c r="N1075" s="48"/>
    </row>
    <row r="1076" spans="2:14" x14ac:dyDescent="0.25">
      <c r="B1076" s="103"/>
      <c r="C1076" s="20"/>
      <c r="D1076" s="20"/>
      <c r="E1076" s="20"/>
      <c r="F1076" s="20"/>
      <c r="G1076" s="20"/>
      <c r="H1076" s="20"/>
      <c r="I1076" s="20"/>
      <c r="J1076" s="20"/>
      <c r="K1076" s="20"/>
      <c r="L1076" s="20"/>
      <c r="M1076" s="20"/>
      <c r="N1076" s="48"/>
    </row>
    <row r="1077" spans="2:14" x14ac:dyDescent="0.25">
      <c r="B1077" s="103"/>
      <c r="C1077" s="20"/>
      <c r="D1077" s="20"/>
      <c r="E1077" s="20"/>
      <c r="F1077" s="20"/>
      <c r="G1077" s="20"/>
      <c r="H1077" s="20"/>
      <c r="I1077" s="20"/>
      <c r="J1077" s="20"/>
      <c r="K1077" s="20"/>
      <c r="L1077" s="20"/>
      <c r="M1077" s="20"/>
      <c r="N1077" s="48"/>
    </row>
    <row r="1078" spans="2:14" x14ac:dyDescent="0.25">
      <c r="B1078" s="103"/>
      <c r="C1078" s="20"/>
      <c r="D1078" s="20"/>
      <c r="E1078" s="20"/>
      <c r="F1078" s="20"/>
      <c r="G1078" s="20"/>
      <c r="H1078" s="20"/>
      <c r="I1078" s="20"/>
      <c r="J1078" s="20"/>
      <c r="K1078" s="20"/>
      <c r="L1078" s="20"/>
      <c r="M1078" s="20"/>
      <c r="N1078" s="48"/>
    </row>
    <row r="1079" spans="2:14" x14ac:dyDescent="0.25">
      <c r="B1079" s="103"/>
      <c r="C1079" s="20"/>
      <c r="D1079" s="20"/>
      <c r="E1079" s="20"/>
      <c r="F1079" s="20"/>
      <c r="G1079" s="20"/>
      <c r="H1079" s="20"/>
      <c r="I1079" s="20"/>
      <c r="J1079" s="20"/>
      <c r="K1079" s="20"/>
      <c r="L1079" s="20"/>
      <c r="M1079" s="20"/>
      <c r="N1079" s="48"/>
    </row>
    <row r="1080" spans="2:14" x14ac:dyDescent="0.25">
      <c r="B1080" s="103"/>
      <c r="C1080" s="20"/>
      <c r="D1080" s="20"/>
      <c r="E1080" s="20"/>
      <c r="F1080" s="20"/>
      <c r="G1080" s="20"/>
      <c r="H1080" s="20"/>
      <c r="I1080" s="20"/>
      <c r="J1080" s="20"/>
      <c r="K1080" s="20"/>
      <c r="L1080" s="20"/>
      <c r="M1080" s="20"/>
      <c r="N1080" s="48"/>
    </row>
    <row r="1081" spans="2:14" x14ac:dyDescent="0.25">
      <c r="B1081" s="103"/>
      <c r="C1081" s="20"/>
      <c r="D1081" s="20"/>
      <c r="E1081" s="20"/>
      <c r="F1081" s="20"/>
      <c r="G1081" s="20"/>
      <c r="H1081" s="20"/>
      <c r="I1081" s="20"/>
      <c r="J1081" s="20"/>
      <c r="K1081" s="20"/>
      <c r="L1081" s="20"/>
      <c r="M1081" s="20"/>
      <c r="N1081" s="48"/>
    </row>
    <row r="1082" spans="2:14" x14ac:dyDescent="0.25">
      <c r="B1082" s="103"/>
      <c r="C1082" s="20"/>
      <c r="D1082" s="20"/>
      <c r="E1082" s="20"/>
      <c r="F1082" s="20"/>
      <c r="G1082" s="20"/>
      <c r="H1082" s="20"/>
      <c r="I1082" s="20"/>
      <c r="J1082" s="20"/>
      <c r="K1082" s="20"/>
      <c r="L1082" s="20"/>
      <c r="M1082" s="20"/>
      <c r="N1082" s="48"/>
    </row>
    <row r="1083" spans="2:14" x14ac:dyDescent="0.25">
      <c r="B1083" s="103"/>
      <c r="C1083" s="20"/>
      <c r="D1083" s="20"/>
      <c r="E1083" s="20"/>
      <c r="F1083" s="20"/>
      <c r="G1083" s="20"/>
      <c r="H1083" s="20"/>
      <c r="I1083" s="20"/>
      <c r="J1083" s="20"/>
      <c r="K1083" s="20"/>
      <c r="L1083" s="20"/>
      <c r="M1083" s="20"/>
      <c r="N1083" s="48"/>
    </row>
    <row r="1084" spans="2:14" x14ac:dyDescent="0.25">
      <c r="B1084" s="103"/>
      <c r="C1084" s="20"/>
      <c r="D1084" s="20"/>
      <c r="E1084" s="20"/>
      <c r="F1084" s="20"/>
      <c r="G1084" s="20"/>
      <c r="H1084" s="20"/>
      <c r="I1084" s="20"/>
      <c r="J1084" s="20"/>
      <c r="K1084" s="20"/>
      <c r="L1084" s="20"/>
      <c r="M1084" s="20"/>
      <c r="N1084" s="48"/>
    </row>
    <row r="1085" spans="2:14" x14ac:dyDescent="0.25">
      <c r="B1085" s="103"/>
      <c r="C1085" s="20"/>
      <c r="D1085" s="20"/>
      <c r="E1085" s="20"/>
      <c r="F1085" s="20"/>
      <c r="G1085" s="20"/>
      <c r="H1085" s="20"/>
      <c r="I1085" s="20"/>
      <c r="J1085" s="20"/>
      <c r="K1085" s="20"/>
      <c r="L1085" s="20"/>
      <c r="M1085" s="20"/>
      <c r="N1085" s="48"/>
    </row>
    <row r="1086" spans="2:14" x14ac:dyDescent="0.25">
      <c r="B1086" s="103"/>
      <c r="C1086" s="20"/>
      <c r="D1086" s="20"/>
      <c r="E1086" s="20"/>
      <c r="F1086" s="20"/>
      <c r="G1086" s="20"/>
      <c r="H1086" s="20"/>
      <c r="I1086" s="20"/>
      <c r="J1086" s="20"/>
      <c r="K1086" s="20"/>
      <c r="L1086" s="20"/>
      <c r="M1086" s="20"/>
      <c r="N1086" s="48"/>
    </row>
    <row r="1087" spans="2:14" ht="4.5" customHeight="1" x14ac:dyDescent="0.25">
      <c r="B1087" s="103"/>
      <c r="C1087" s="20"/>
      <c r="D1087" s="20"/>
      <c r="E1087" s="20"/>
      <c r="F1087" s="20"/>
      <c r="G1087" s="20"/>
      <c r="H1087" s="20"/>
      <c r="I1087" s="20"/>
      <c r="J1087" s="20"/>
      <c r="K1087" s="20"/>
      <c r="L1087" s="20"/>
      <c r="M1087" s="20"/>
      <c r="N1087" s="48"/>
    </row>
    <row r="1088" spans="2:14" ht="36.75" customHeight="1" x14ac:dyDescent="0.25">
      <c r="B1088" s="103" t="s">
        <v>67</v>
      </c>
      <c r="C1088" s="136" t="s">
        <v>63</v>
      </c>
      <c r="D1088" s="137"/>
      <c r="E1088" s="137"/>
      <c r="F1088" s="137"/>
      <c r="G1088" s="137"/>
      <c r="H1088" s="137"/>
      <c r="I1088" s="137"/>
      <c r="J1088" s="137"/>
      <c r="K1088" s="137"/>
      <c r="L1088" s="137"/>
      <c r="M1088" s="138"/>
      <c r="N1088" s="48"/>
    </row>
    <row r="1089" spans="2:14" ht="4.5" customHeight="1" x14ac:dyDescent="0.25">
      <c r="B1089" s="103"/>
      <c r="C1089" s="20"/>
      <c r="D1089" s="20"/>
      <c r="E1089" s="20"/>
      <c r="F1089" s="20"/>
      <c r="G1089" s="20"/>
      <c r="H1089" s="20"/>
      <c r="I1089" s="20"/>
      <c r="J1089" s="20"/>
      <c r="K1089" s="20"/>
      <c r="L1089" s="20"/>
      <c r="M1089" s="20"/>
      <c r="N1089" s="48"/>
    </row>
    <row r="1090" spans="2:14" ht="18.75" customHeight="1" x14ac:dyDescent="0.25">
      <c r="B1090" s="103"/>
      <c r="C1090" s="545" t="s">
        <v>64</v>
      </c>
      <c r="D1090" s="546"/>
      <c r="E1090" s="546"/>
      <c r="F1090" s="546"/>
      <c r="G1090" s="546"/>
      <c r="H1090" s="546"/>
      <c r="I1090" s="546"/>
      <c r="J1090" s="546"/>
      <c r="K1090" s="139"/>
      <c r="L1090" s="140"/>
      <c r="M1090" s="56" t="s">
        <v>65</v>
      </c>
      <c r="N1090" s="48"/>
    </row>
    <row r="1091" spans="2:14" ht="17.25" customHeight="1" x14ac:dyDescent="0.25">
      <c r="B1091" s="103" t="s">
        <v>76</v>
      </c>
      <c r="C1091" s="523" t="s">
        <v>68</v>
      </c>
      <c r="D1091" s="524"/>
      <c r="E1091" s="524"/>
      <c r="F1091" s="524"/>
      <c r="G1091" s="524"/>
      <c r="H1091" s="524"/>
      <c r="I1091" s="524"/>
      <c r="J1091" s="524"/>
      <c r="K1091" s="185"/>
      <c r="L1091" s="184"/>
      <c r="M1091" s="186">
        <v>1</v>
      </c>
      <c r="N1091" s="48"/>
    </row>
    <row r="1092" spans="2:14" ht="17.25" customHeight="1" x14ac:dyDescent="0.25">
      <c r="B1092" s="103" t="s">
        <v>75</v>
      </c>
      <c r="C1092" s="523" t="s">
        <v>66</v>
      </c>
      <c r="D1092" s="524"/>
      <c r="E1092" s="524"/>
      <c r="F1092" s="524"/>
      <c r="G1092" s="524"/>
      <c r="H1092" s="524"/>
      <c r="I1092" s="524"/>
      <c r="J1092" s="524"/>
      <c r="K1092" s="185"/>
      <c r="L1092" s="184"/>
      <c r="M1092" s="186"/>
      <c r="N1092" s="48"/>
    </row>
    <row r="1093" spans="2:14" ht="17.25" customHeight="1" x14ac:dyDescent="0.25">
      <c r="B1093" s="103" t="s">
        <v>72</v>
      </c>
      <c r="C1093" s="523" t="s">
        <v>69</v>
      </c>
      <c r="D1093" s="524"/>
      <c r="E1093" s="524"/>
      <c r="F1093" s="524"/>
      <c r="G1093" s="524"/>
      <c r="H1093" s="524"/>
      <c r="I1093" s="524"/>
      <c r="J1093" s="524"/>
      <c r="K1093" s="185"/>
      <c r="L1093" s="184"/>
      <c r="M1093" s="186"/>
      <c r="N1093" s="48"/>
    </row>
    <row r="1094" spans="2:14" ht="17.25" customHeight="1" x14ac:dyDescent="0.25">
      <c r="B1094" s="103" t="s">
        <v>73</v>
      </c>
      <c r="C1094" s="523" t="s">
        <v>70</v>
      </c>
      <c r="D1094" s="524"/>
      <c r="E1094" s="524"/>
      <c r="F1094" s="524"/>
      <c r="G1094" s="524"/>
      <c r="H1094" s="524"/>
      <c r="I1094" s="524"/>
      <c r="J1094" s="524"/>
      <c r="K1094" s="185"/>
      <c r="L1094" s="184"/>
      <c r="M1094" s="186"/>
      <c r="N1094" s="48"/>
    </row>
    <row r="1095" spans="2:14" ht="17.25" customHeight="1" x14ac:dyDescent="0.25">
      <c r="B1095" s="103" t="s">
        <v>74</v>
      </c>
      <c r="C1095" s="523" t="s">
        <v>71</v>
      </c>
      <c r="D1095" s="524"/>
      <c r="E1095" s="524"/>
      <c r="F1095" s="524"/>
      <c r="G1095" s="524"/>
      <c r="H1095" s="524"/>
      <c r="I1095" s="524"/>
      <c r="J1095" s="524"/>
      <c r="K1095" s="185"/>
      <c r="L1095" s="184"/>
      <c r="M1095" s="186"/>
      <c r="N1095" s="48"/>
    </row>
    <row r="1096" spans="2:14" x14ac:dyDescent="0.25">
      <c r="B1096" s="103"/>
      <c r="C1096" s="20"/>
      <c r="D1096" s="20"/>
      <c r="E1096" s="20"/>
      <c r="F1096" s="20"/>
      <c r="G1096" s="20"/>
      <c r="H1096" s="20"/>
      <c r="I1096" s="20"/>
      <c r="J1096" s="20"/>
      <c r="K1096" s="20"/>
      <c r="L1096" s="20"/>
      <c r="M1096" s="20"/>
      <c r="N1096" s="48"/>
    </row>
    <row r="1097" spans="2:14" x14ac:dyDescent="0.25">
      <c r="B1097" s="103"/>
      <c r="C1097" s="20"/>
      <c r="D1097" s="20"/>
      <c r="E1097" s="20"/>
      <c r="F1097" s="20"/>
      <c r="G1097" s="20"/>
      <c r="H1097" s="20"/>
      <c r="I1097" s="20"/>
      <c r="J1097" s="20"/>
      <c r="K1097" s="20"/>
      <c r="L1097" s="20"/>
      <c r="M1097" s="20"/>
      <c r="N1097" s="48"/>
    </row>
    <row r="1098" spans="2:14" x14ac:dyDescent="0.25">
      <c r="B1098" s="103"/>
      <c r="C1098" s="20"/>
      <c r="D1098" s="20"/>
      <c r="E1098" s="20"/>
      <c r="F1098" s="20"/>
      <c r="G1098" s="20"/>
      <c r="H1098" s="20"/>
      <c r="I1098" s="20"/>
      <c r="J1098" s="20"/>
      <c r="K1098" s="20"/>
      <c r="L1098" s="20"/>
      <c r="M1098" s="20"/>
      <c r="N1098" s="48"/>
    </row>
    <row r="1099" spans="2:14" x14ac:dyDescent="0.25">
      <c r="B1099" s="103"/>
      <c r="C1099" s="20"/>
      <c r="D1099" s="20"/>
      <c r="E1099" s="20"/>
      <c r="F1099" s="20"/>
      <c r="G1099" s="20"/>
      <c r="H1099" s="20"/>
      <c r="I1099" s="20"/>
      <c r="J1099" s="20"/>
      <c r="K1099" s="20"/>
      <c r="L1099" s="20"/>
      <c r="M1099" s="20"/>
      <c r="N1099" s="48"/>
    </row>
    <row r="1100" spans="2:14" x14ac:dyDescent="0.25">
      <c r="B1100" s="103"/>
      <c r="C1100" s="20"/>
      <c r="D1100" s="20"/>
      <c r="E1100" s="20"/>
      <c r="F1100" s="20"/>
      <c r="G1100" s="20"/>
      <c r="H1100" s="20"/>
      <c r="I1100" s="20"/>
      <c r="J1100" s="20"/>
      <c r="K1100" s="20"/>
      <c r="L1100" s="20"/>
      <c r="M1100" s="20"/>
      <c r="N1100" s="48"/>
    </row>
    <row r="1101" spans="2:14" x14ac:dyDescent="0.25">
      <c r="B1101" s="103"/>
      <c r="C1101" s="20"/>
      <c r="D1101" s="20"/>
      <c r="E1101" s="20"/>
      <c r="F1101" s="20"/>
      <c r="G1101" s="20"/>
      <c r="H1101" s="20"/>
      <c r="I1101" s="20"/>
      <c r="J1101" s="20"/>
      <c r="K1101" s="20"/>
      <c r="L1101" s="20"/>
      <c r="M1101" s="20"/>
      <c r="N1101" s="48"/>
    </row>
    <row r="1102" spans="2:14" x14ac:dyDescent="0.25">
      <c r="B1102" s="103"/>
      <c r="C1102" s="20"/>
      <c r="D1102" s="20"/>
      <c r="E1102" s="20"/>
      <c r="F1102" s="20"/>
      <c r="G1102" s="20"/>
      <c r="H1102" s="20"/>
      <c r="I1102" s="20"/>
      <c r="J1102" s="20"/>
      <c r="K1102" s="20"/>
      <c r="L1102" s="20"/>
      <c r="M1102" s="20"/>
      <c r="N1102" s="48"/>
    </row>
    <row r="1103" spans="2:14" x14ac:dyDescent="0.25">
      <c r="B1103" s="103"/>
      <c r="C1103" s="20"/>
      <c r="D1103" s="20"/>
      <c r="E1103" s="20"/>
      <c r="F1103" s="20"/>
      <c r="G1103" s="20"/>
      <c r="H1103" s="20"/>
      <c r="I1103" s="20"/>
      <c r="J1103" s="20"/>
      <c r="K1103" s="20"/>
      <c r="L1103" s="20"/>
      <c r="M1103" s="20"/>
      <c r="N1103" s="48"/>
    </row>
    <row r="1104" spans="2:14" x14ac:dyDescent="0.25">
      <c r="B1104" s="103"/>
      <c r="C1104" s="20"/>
      <c r="D1104" s="20"/>
      <c r="E1104" s="20"/>
      <c r="F1104" s="20"/>
      <c r="G1104" s="20"/>
      <c r="H1104" s="20"/>
      <c r="I1104" s="20"/>
      <c r="J1104" s="20"/>
      <c r="K1104" s="20"/>
      <c r="L1104" s="20"/>
      <c r="M1104" s="20"/>
      <c r="N1104" s="48"/>
    </row>
    <row r="1105" spans="2:14" x14ac:dyDescent="0.25">
      <c r="B1105" s="103"/>
      <c r="C1105" s="20"/>
      <c r="D1105" s="20"/>
      <c r="E1105" s="20"/>
      <c r="F1105" s="20"/>
      <c r="G1105" s="20"/>
      <c r="H1105" s="20"/>
      <c r="I1105" s="20"/>
      <c r="J1105" s="20"/>
      <c r="K1105" s="20"/>
      <c r="L1105" s="20"/>
      <c r="M1105" s="20"/>
      <c r="N1105" s="48"/>
    </row>
    <row r="1106" spans="2:14" x14ac:dyDescent="0.25">
      <c r="B1106" s="103"/>
      <c r="C1106" s="20"/>
      <c r="D1106" s="20"/>
      <c r="E1106" s="20"/>
      <c r="F1106" s="20"/>
      <c r="G1106" s="20"/>
      <c r="H1106" s="20"/>
      <c r="I1106" s="20"/>
      <c r="J1106" s="20"/>
      <c r="K1106" s="20"/>
      <c r="L1106" s="20"/>
      <c r="M1106" s="20"/>
      <c r="N1106" s="48"/>
    </row>
    <row r="1107" spans="2:14" x14ac:dyDescent="0.25">
      <c r="B1107" s="103"/>
      <c r="C1107" s="20"/>
      <c r="D1107" s="20"/>
      <c r="E1107" s="20"/>
      <c r="F1107" s="20"/>
      <c r="G1107" s="20"/>
      <c r="H1107" s="20"/>
      <c r="I1107" s="20"/>
      <c r="J1107" s="20"/>
      <c r="K1107" s="20"/>
      <c r="L1107" s="20"/>
      <c r="M1107" s="20"/>
      <c r="N1107" s="48"/>
    </row>
    <row r="1108" spans="2:14" x14ac:dyDescent="0.25">
      <c r="B1108" s="103"/>
      <c r="C1108" s="20"/>
      <c r="D1108" s="20"/>
      <c r="E1108" s="20"/>
      <c r="F1108" s="20"/>
      <c r="G1108" s="20"/>
      <c r="H1108" s="20"/>
      <c r="I1108" s="20"/>
      <c r="J1108" s="20"/>
      <c r="K1108" s="20"/>
      <c r="L1108" s="20"/>
      <c r="M1108" s="20"/>
      <c r="N1108" s="48"/>
    </row>
    <row r="1109" spans="2:14" x14ac:dyDescent="0.25">
      <c r="B1109" s="103"/>
      <c r="C1109" s="20"/>
      <c r="D1109" s="20"/>
      <c r="E1109" s="20"/>
      <c r="F1109" s="20"/>
      <c r="G1109" s="20"/>
      <c r="H1109" s="20"/>
      <c r="I1109" s="20"/>
      <c r="J1109" s="20"/>
      <c r="K1109" s="20"/>
      <c r="L1109" s="20"/>
      <c r="M1109" s="20"/>
      <c r="N1109" s="48"/>
    </row>
    <row r="1110" spans="2:14" x14ac:dyDescent="0.25">
      <c r="B1110" s="103"/>
      <c r="C1110" s="20"/>
      <c r="D1110" s="20"/>
      <c r="E1110" s="20"/>
      <c r="F1110" s="20"/>
      <c r="G1110" s="20"/>
      <c r="H1110" s="20"/>
      <c r="I1110" s="20"/>
      <c r="J1110" s="20"/>
      <c r="K1110" s="20"/>
      <c r="L1110" s="20"/>
      <c r="M1110" s="20"/>
      <c r="N1110" s="48"/>
    </row>
    <row r="1111" spans="2:14" ht="6.75" customHeight="1" thickBot="1" x14ac:dyDescent="0.3">
      <c r="B1111" s="83"/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60"/>
    </row>
    <row r="1112" spans="2:14" s="9" customFormat="1" ht="6.75" customHeight="1" x14ac:dyDescent="0.25">
      <c r="B1112" s="440"/>
    </row>
    <row r="1113" spans="2:14" s="9" customFormat="1" ht="6.75" customHeight="1" thickBot="1" x14ac:dyDescent="0.3">
      <c r="B1113" s="439"/>
    </row>
    <row r="1114" spans="2:14" ht="4.5" customHeight="1" thickBot="1" x14ac:dyDescent="0.3">
      <c r="B1114" s="77"/>
      <c r="C1114" s="78"/>
      <c r="D1114" s="78"/>
      <c r="E1114" s="78"/>
      <c r="F1114" s="78"/>
      <c r="G1114" s="78"/>
      <c r="H1114" s="78"/>
      <c r="I1114" s="78"/>
      <c r="J1114" s="78"/>
      <c r="K1114" s="78"/>
      <c r="L1114" s="78"/>
      <c r="M1114" s="78"/>
      <c r="N1114" s="79"/>
    </row>
    <row r="1115" spans="2:14" s="6" customFormat="1" ht="30" customHeight="1" thickBot="1" x14ac:dyDescent="0.3">
      <c r="B1115" s="84"/>
      <c r="C1115" s="165" t="s">
        <v>241</v>
      </c>
      <c r="D1115" s="166"/>
      <c r="E1115" s="166"/>
      <c r="F1115" s="166"/>
      <c r="G1115" s="166"/>
      <c r="H1115" s="166"/>
      <c r="I1115" s="166"/>
      <c r="J1115" s="166"/>
      <c r="K1115" s="166"/>
      <c r="L1115" s="166"/>
      <c r="M1115" s="167"/>
      <c r="N1115" s="85"/>
    </row>
    <row r="1116" spans="2:14" ht="4.5" customHeight="1" x14ac:dyDescent="0.25">
      <c r="B1116" s="103"/>
      <c r="C1116" s="78"/>
      <c r="D1116" s="78"/>
      <c r="E1116" s="78"/>
      <c r="F1116" s="78"/>
      <c r="G1116" s="78"/>
      <c r="H1116" s="78"/>
      <c r="I1116" s="78"/>
      <c r="J1116" s="78"/>
      <c r="K1116" s="78"/>
      <c r="L1116" s="20"/>
      <c r="M1116" s="20"/>
      <c r="N1116" s="48"/>
    </row>
    <row r="1117" spans="2:14" ht="18" customHeight="1" x14ac:dyDescent="0.25">
      <c r="B1117" s="87"/>
      <c r="C1117" s="557" t="s">
        <v>233</v>
      </c>
      <c r="D1117" s="558"/>
      <c r="E1117" s="558"/>
      <c r="F1117" s="558"/>
      <c r="G1117" s="559"/>
      <c r="H1117" s="614" t="s">
        <v>102</v>
      </c>
      <c r="I1117" s="179" t="s">
        <v>98</v>
      </c>
      <c r="J1117" s="180"/>
      <c r="K1117" s="181"/>
      <c r="L1117" s="643" t="s">
        <v>362</v>
      </c>
      <c r="M1117" s="182"/>
      <c r="N1117" s="48"/>
    </row>
    <row r="1118" spans="2:14" ht="16.5" customHeight="1" x14ac:dyDescent="0.25">
      <c r="B1118" s="87"/>
      <c r="C1118" s="560"/>
      <c r="D1118" s="561"/>
      <c r="E1118" s="561"/>
      <c r="F1118" s="561"/>
      <c r="G1118" s="562"/>
      <c r="H1118" s="615"/>
      <c r="I1118" s="141" t="s">
        <v>99</v>
      </c>
      <c r="J1118" s="141" t="s">
        <v>100</v>
      </c>
      <c r="K1118" s="141" t="s">
        <v>101</v>
      </c>
      <c r="L1118" s="643"/>
      <c r="M1118" s="182"/>
      <c r="N1118" s="48"/>
    </row>
    <row r="1119" spans="2:14" ht="26.25" customHeight="1" x14ac:dyDescent="0.25">
      <c r="B1119" s="103" t="s">
        <v>118</v>
      </c>
      <c r="C1119" s="520" t="s">
        <v>97</v>
      </c>
      <c r="D1119" s="521"/>
      <c r="E1119" s="521"/>
      <c r="F1119" s="521"/>
      <c r="G1119" s="522"/>
      <c r="H1119" s="21" t="s">
        <v>103</v>
      </c>
      <c r="I1119" s="105" t="s">
        <v>268</v>
      </c>
      <c r="J1119" s="105" t="s">
        <v>268</v>
      </c>
      <c r="K1119" s="133" t="s">
        <v>268</v>
      </c>
      <c r="L1119" s="330"/>
      <c r="M1119" s="183"/>
      <c r="N1119" s="48"/>
    </row>
    <row r="1120" spans="2:14" ht="26.25" customHeight="1" x14ac:dyDescent="0.25">
      <c r="B1120" s="103" t="s">
        <v>119</v>
      </c>
      <c r="C1120" s="520" t="s">
        <v>734</v>
      </c>
      <c r="D1120" s="521"/>
      <c r="E1120" s="521"/>
      <c r="F1120" s="521"/>
      <c r="G1120" s="522"/>
      <c r="H1120" s="21" t="s">
        <v>103</v>
      </c>
      <c r="I1120" s="105" t="s">
        <v>268</v>
      </c>
      <c r="J1120" s="105" t="s">
        <v>268</v>
      </c>
      <c r="K1120" s="133" t="s">
        <v>268</v>
      </c>
      <c r="L1120" s="330"/>
      <c r="M1120" s="183"/>
      <c r="N1120" s="48"/>
    </row>
    <row r="1121" spans="2:14" ht="26.25" customHeight="1" x14ac:dyDescent="0.25">
      <c r="B1121" s="103" t="s">
        <v>125</v>
      </c>
      <c r="C1121" s="520" t="s">
        <v>735</v>
      </c>
      <c r="D1121" s="521"/>
      <c r="E1121" s="521"/>
      <c r="F1121" s="521"/>
      <c r="G1121" s="522"/>
      <c r="H1121" s="21" t="s">
        <v>103</v>
      </c>
      <c r="I1121" s="105" t="s">
        <v>268</v>
      </c>
      <c r="J1121" s="105" t="s">
        <v>268</v>
      </c>
      <c r="K1121" s="133" t="s">
        <v>268</v>
      </c>
      <c r="L1121" s="330"/>
      <c r="M1121" s="183"/>
      <c r="N1121" s="48"/>
    </row>
    <row r="1122" spans="2:14" ht="26.25" customHeight="1" x14ac:dyDescent="0.25">
      <c r="B1122" s="103" t="s">
        <v>126</v>
      </c>
      <c r="C1122" s="520" t="s">
        <v>108</v>
      </c>
      <c r="D1122" s="521"/>
      <c r="E1122" s="521"/>
      <c r="F1122" s="521"/>
      <c r="G1122" s="522"/>
      <c r="H1122" s="21" t="s">
        <v>103</v>
      </c>
      <c r="I1122" s="21" t="s">
        <v>268</v>
      </c>
      <c r="J1122" s="21" t="s">
        <v>268</v>
      </c>
      <c r="K1122" s="133" t="s">
        <v>268</v>
      </c>
      <c r="L1122" s="330"/>
      <c r="M1122" s="183"/>
      <c r="N1122" s="48"/>
    </row>
    <row r="1123" spans="2:14" ht="26.25" customHeight="1" x14ac:dyDescent="0.25">
      <c r="B1123" s="103" t="s">
        <v>127</v>
      </c>
      <c r="C1123" s="520" t="s">
        <v>109</v>
      </c>
      <c r="D1123" s="521"/>
      <c r="E1123" s="521"/>
      <c r="F1123" s="521"/>
      <c r="G1123" s="522"/>
      <c r="H1123" s="21" t="s">
        <v>103</v>
      </c>
      <c r="I1123" s="21" t="s">
        <v>268</v>
      </c>
      <c r="J1123" s="21" t="s">
        <v>268</v>
      </c>
      <c r="K1123" s="133" t="s">
        <v>268</v>
      </c>
      <c r="L1123" s="330"/>
      <c r="M1123" s="183"/>
      <c r="N1123" s="48"/>
    </row>
    <row r="1124" spans="2:14" ht="26.25" customHeight="1" x14ac:dyDescent="0.25">
      <c r="B1124" s="103" t="s">
        <v>128</v>
      </c>
      <c r="C1124" s="489" t="s">
        <v>239</v>
      </c>
      <c r="D1124" s="609"/>
      <c r="E1124" s="609"/>
      <c r="F1124" s="609"/>
      <c r="G1124" s="490"/>
      <c r="H1124" s="21" t="s">
        <v>103</v>
      </c>
      <c r="I1124" s="21" t="s">
        <v>268</v>
      </c>
      <c r="J1124" s="21" t="s">
        <v>268</v>
      </c>
      <c r="K1124" s="133" t="s">
        <v>268</v>
      </c>
      <c r="L1124" s="330"/>
      <c r="M1124" s="183"/>
      <c r="N1124" s="48"/>
    </row>
    <row r="1125" spans="2:14" ht="26.25" customHeight="1" x14ac:dyDescent="0.25">
      <c r="B1125" s="103" t="s">
        <v>129</v>
      </c>
      <c r="C1125" s="520" t="s">
        <v>110</v>
      </c>
      <c r="D1125" s="521"/>
      <c r="E1125" s="521"/>
      <c r="F1125" s="521"/>
      <c r="G1125" s="522"/>
      <c r="H1125" s="21" t="s">
        <v>105</v>
      </c>
      <c r="I1125" s="21" t="s">
        <v>268</v>
      </c>
      <c r="J1125" s="21" t="s">
        <v>268</v>
      </c>
      <c r="K1125" s="133" t="s">
        <v>268</v>
      </c>
      <c r="L1125" s="330"/>
      <c r="M1125" s="183"/>
      <c r="N1125" s="48"/>
    </row>
    <row r="1126" spans="2:14" ht="26.25" customHeight="1" x14ac:dyDescent="0.25">
      <c r="B1126" s="103" t="s">
        <v>130</v>
      </c>
      <c r="C1126" s="520" t="s">
        <v>736</v>
      </c>
      <c r="D1126" s="521"/>
      <c r="E1126" s="521"/>
      <c r="F1126" s="521"/>
      <c r="G1126" s="522"/>
      <c r="H1126" s="21" t="s">
        <v>105</v>
      </c>
      <c r="I1126" s="21" t="s">
        <v>268</v>
      </c>
      <c r="J1126" s="21" t="s">
        <v>268</v>
      </c>
      <c r="K1126" s="133" t="s">
        <v>268</v>
      </c>
      <c r="L1126" s="330"/>
      <c r="M1126" s="183"/>
      <c r="N1126" s="48"/>
    </row>
    <row r="1127" spans="2:14" ht="26.25" customHeight="1" x14ac:dyDescent="0.25">
      <c r="B1127" s="103" t="s">
        <v>131</v>
      </c>
      <c r="C1127" s="520" t="s">
        <v>111</v>
      </c>
      <c r="D1127" s="521"/>
      <c r="E1127" s="521"/>
      <c r="F1127" s="521"/>
      <c r="G1127" s="522"/>
      <c r="H1127" s="21" t="s">
        <v>105</v>
      </c>
      <c r="I1127" s="21" t="s">
        <v>268</v>
      </c>
      <c r="J1127" s="21" t="s">
        <v>268</v>
      </c>
      <c r="K1127" s="133" t="s">
        <v>268</v>
      </c>
      <c r="L1127" s="330"/>
      <c r="M1127" s="183"/>
      <c r="N1127" s="48"/>
    </row>
    <row r="1128" spans="2:14" ht="26.25" customHeight="1" x14ac:dyDescent="0.25">
      <c r="B1128" s="103" t="s">
        <v>132</v>
      </c>
      <c r="C1128" s="520" t="s">
        <v>238</v>
      </c>
      <c r="D1128" s="521"/>
      <c r="E1128" s="521"/>
      <c r="F1128" s="521"/>
      <c r="G1128" s="522"/>
      <c r="H1128" s="21" t="s">
        <v>105</v>
      </c>
      <c r="I1128" s="21" t="s">
        <v>268</v>
      </c>
      <c r="J1128" s="21" t="s">
        <v>268</v>
      </c>
      <c r="K1128" s="133" t="s">
        <v>268</v>
      </c>
      <c r="L1128" s="330"/>
      <c r="M1128" s="183"/>
      <c r="N1128" s="48"/>
    </row>
    <row r="1129" spans="2:14" ht="26.25" customHeight="1" x14ac:dyDescent="0.25">
      <c r="B1129" s="103" t="s">
        <v>133</v>
      </c>
      <c r="C1129" s="489" t="s">
        <v>240</v>
      </c>
      <c r="D1129" s="609"/>
      <c r="E1129" s="609"/>
      <c r="F1129" s="609"/>
      <c r="G1129" s="490"/>
      <c r="H1129" s="21" t="s">
        <v>104</v>
      </c>
      <c r="I1129" s="21" t="s">
        <v>268</v>
      </c>
      <c r="J1129" s="21" t="s">
        <v>268</v>
      </c>
      <c r="K1129" s="133" t="s">
        <v>268</v>
      </c>
      <c r="L1129" s="330"/>
      <c r="M1129" s="183"/>
      <c r="N1129" s="48"/>
    </row>
    <row r="1130" spans="2:14" ht="26.25" customHeight="1" x14ac:dyDescent="0.25">
      <c r="B1130" s="103" t="s">
        <v>134</v>
      </c>
      <c r="C1130" s="520" t="s">
        <v>106</v>
      </c>
      <c r="D1130" s="521"/>
      <c r="E1130" s="521"/>
      <c r="F1130" s="521"/>
      <c r="G1130" s="522"/>
      <c r="H1130" s="21" t="s">
        <v>105</v>
      </c>
      <c r="I1130" s="21" t="s">
        <v>268</v>
      </c>
      <c r="J1130" s="21" t="s">
        <v>268</v>
      </c>
      <c r="K1130" s="133" t="s">
        <v>268</v>
      </c>
      <c r="L1130" s="330"/>
      <c r="M1130" s="183"/>
      <c r="N1130" s="48"/>
    </row>
    <row r="1131" spans="2:14" ht="26.25" customHeight="1" x14ac:dyDescent="0.25">
      <c r="B1131" s="103" t="s">
        <v>135</v>
      </c>
      <c r="C1131" s="520" t="s">
        <v>107</v>
      </c>
      <c r="D1131" s="521"/>
      <c r="E1131" s="521"/>
      <c r="F1131" s="521"/>
      <c r="G1131" s="522"/>
      <c r="H1131" s="21" t="s">
        <v>105</v>
      </c>
      <c r="I1131" s="21" t="s">
        <v>268</v>
      </c>
      <c r="J1131" s="21" t="s">
        <v>268</v>
      </c>
      <c r="K1131" s="133" t="s">
        <v>268</v>
      </c>
      <c r="L1131" s="330"/>
      <c r="M1131" s="183"/>
      <c r="N1131" s="48"/>
    </row>
    <row r="1132" spans="2:14" ht="26.25" customHeight="1" x14ac:dyDescent="0.25">
      <c r="B1132" s="103" t="s">
        <v>136</v>
      </c>
      <c r="C1132" s="520" t="s">
        <v>737</v>
      </c>
      <c r="D1132" s="521"/>
      <c r="E1132" s="521"/>
      <c r="F1132" s="521"/>
      <c r="G1132" s="522"/>
      <c r="H1132" s="21" t="s">
        <v>105</v>
      </c>
      <c r="I1132" s="21" t="s">
        <v>271</v>
      </c>
      <c r="J1132" s="21" t="s">
        <v>268</v>
      </c>
      <c r="K1132" s="133" t="s">
        <v>268</v>
      </c>
      <c r="L1132" s="330"/>
      <c r="M1132" s="183"/>
      <c r="N1132" s="48"/>
    </row>
    <row r="1133" spans="2:14" ht="26.25" customHeight="1" x14ac:dyDescent="0.25">
      <c r="B1133" s="103" t="s">
        <v>137</v>
      </c>
      <c r="C1133" s="520" t="s">
        <v>738</v>
      </c>
      <c r="D1133" s="521"/>
      <c r="E1133" s="521"/>
      <c r="F1133" s="521"/>
      <c r="G1133" s="522"/>
      <c r="H1133" s="21" t="s">
        <v>105</v>
      </c>
      <c r="I1133" s="105" t="s">
        <v>271</v>
      </c>
      <c r="J1133" s="105" t="s">
        <v>271</v>
      </c>
      <c r="K1133" s="133" t="s">
        <v>268</v>
      </c>
      <c r="L1133" s="330"/>
      <c r="M1133" s="183"/>
      <c r="N1133" s="48"/>
    </row>
    <row r="1134" spans="2:14" ht="26.25" customHeight="1" x14ac:dyDescent="0.25">
      <c r="B1134" s="103" t="s">
        <v>138</v>
      </c>
      <c r="C1134" s="520" t="s">
        <v>739</v>
      </c>
      <c r="D1134" s="521"/>
      <c r="E1134" s="521"/>
      <c r="F1134" s="521"/>
      <c r="G1134" s="522"/>
      <c r="H1134" s="21" t="s">
        <v>105</v>
      </c>
      <c r="I1134" s="105" t="s">
        <v>271</v>
      </c>
      <c r="J1134" s="105" t="s">
        <v>271</v>
      </c>
      <c r="K1134" s="133" t="s">
        <v>268</v>
      </c>
      <c r="L1134" s="330"/>
      <c r="M1134" s="183"/>
      <c r="N1134" s="48"/>
    </row>
    <row r="1135" spans="2:14" ht="26.25" customHeight="1" x14ac:dyDescent="0.25">
      <c r="B1135" s="103" t="s">
        <v>139</v>
      </c>
      <c r="C1135" s="520" t="s">
        <v>740</v>
      </c>
      <c r="D1135" s="521"/>
      <c r="E1135" s="521"/>
      <c r="F1135" s="521"/>
      <c r="G1135" s="522"/>
      <c r="H1135" s="21" t="s">
        <v>105</v>
      </c>
      <c r="I1135" s="21" t="s">
        <v>271</v>
      </c>
      <c r="J1135" s="21" t="s">
        <v>268</v>
      </c>
      <c r="K1135" s="133" t="s">
        <v>268</v>
      </c>
      <c r="L1135" s="330"/>
      <c r="M1135" s="183"/>
      <c r="N1135" s="48"/>
    </row>
    <row r="1136" spans="2:14" ht="26.25" customHeight="1" x14ac:dyDescent="0.25">
      <c r="B1136" s="103" t="s">
        <v>140</v>
      </c>
      <c r="C1136" s="489"/>
      <c r="D1136" s="480"/>
      <c r="E1136" s="480"/>
      <c r="F1136" s="480"/>
      <c r="G1136" s="462"/>
      <c r="H1136" s="104"/>
      <c r="I1136" s="105"/>
      <c r="J1136" s="105"/>
      <c r="K1136" s="133"/>
      <c r="L1136" s="330"/>
      <c r="M1136" s="183"/>
      <c r="N1136" s="48"/>
    </row>
    <row r="1137" spans="2:14" ht="26.25" customHeight="1" x14ac:dyDescent="0.25">
      <c r="B1137" s="103" t="s">
        <v>141</v>
      </c>
      <c r="C1137" s="106"/>
      <c r="D1137" s="109"/>
      <c r="E1137" s="109"/>
      <c r="F1137" s="109"/>
      <c r="G1137" s="107"/>
      <c r="H1137" s="104"/>
      <c r="I1137" s="105"/>
      <c r="J1137" s="105"/>
      <c r="K1137" s="133"/>
      <c r="L1137" s="330"/>
      <c r="M1137" s="183"/>
      <c r="N1137" s="48"/>
    </row>
    <row r="1138" spans="2:14" ht="26.25" customHeight="1" x14ac:dyDescent="0.25">
      <c r="B1138" s="103" t="s">
        <v>142</v>
      </c>
      <c r="C1138" s="106"/>
      <c r="D1138" s="109"/>
      <c r="E1138" s="109"/>
      <c r="F1138" s="109"/>
      <c r="G1138" s="107"/>
      <c r="H1138" s="104"/>
      <c r="I1138" s="105"/>
      <c r="J1138" s="105"/>
      <c r="K1138" s="133"/>
      <c r="L1138" s="330"/>
      <c r="M1138" s="183"/>
      <c r="N1138" s="48"/>
    </row>
    <row r="1139" spans="2:14" s="9" customFormat="1" ht="6.75" customHeight="1" x14ac:dyDescent="0.25">
      <c r="B1139" s="95"/>
      <c r="C1139" s="39"/>
      <c r="D1139" s="39"/>
      <c r="E1139" s="39"/>
      <c r="F1139" s="39"/>
      <c r="G1139" s="39"/>
      <c r="H1139" s="39"/>
      <c r="I1139" s="39"/>
      <c r="J1139" s="39"/>
      <c r="K1139" s="39"/>
      <c r="L1139" s="39"/>
      <c r="M1139" s="39"/>
      <c r="N1139" s="40"/>
    </row>
    <row r="1140" spans="2:14" x14ac:dyDescent="0.25">
      <c r="B1140" s="87"/>
      <c r="C1140" s="20"/>
      <c r="D1140" s="20"/>
      <c r="E1140" s="20"/>
      <c r="F1140" s="20"/>
      <c r="G1140" s="20"/>
      <c r="H1140" s="20"/>
      <c r="I1140" s="20"/>
      <c r="J1140" s="20"/>
      <c r="K1140" s="20"/>
      <c r="L1140" s="20"/>
      <c r="M1140" s="20"/>
      <c r="N1140" s="48"/>
    </row>
    <row r="1141" spans="2:14" x14ac:dyDescent="0.25">
      <c r="B1141" s="87"/>
      <c r="C1141" s="20"/>
      <c r="D1141" s="20"/>
      <c r="E1141" s="20"/>
      <c r="F1141" s="20"/>
      <c r="G1141" s="20"/>
      <c r="H1141" s="20"/>
      <c r="I1141" s="20"/>
      <c r="J1141" s="20"/>
      <c r="K1141" s="20"/>
      <c r="L1141" s="20"/>
      <c r="M1141" s="20"/>
      <c r="N1141" s="48"/>
    </row>
    <row r="1142" spans="2:14" x14ac:dyDescent="0.25">
      <c r="B1142" s="87"/>
      <c r="C1142" s="20"/>
      <c r="D1142" s="20"/>
      <c r="E1142" s="20"/>
      <c r="F1142" s="20"/>
      <c r="G1142" s="20"/>
      <c r="H1142" s="20"/>
      <c r="I1142" s="20"/>
      <c r="J1142" s="20"/>
      <c r="K1142" s="20"/>
      <c r="L1142" s="20"/>
      <c r="M1142" s="20"/>
      <c r="N1142" s="48"/>
    </row>
    <row r="1143" spans="2:14" x14ac:dyDescent="0.25">
      <c r="B1143" s="87"/>
      <c r="C1143" s="20"/>
      <c r="D1143" s="20"/>
      <c r="E1143" s="20"/>
      <c r="F1143" s="20"/>
      <c r="G1143" s="20"/>
      <c r="H1143" s="20"/>
      <c r="I1143" s="20"/>
      <c r="J1143" s="20"/>
      <c r="K1143" s="20"/>
      <c r="L1143" s="20"/>
      <c r="M1143" s="20"/>
      <c r="N1143" s="48"/>
    </row>
    <row r="1144" spans="2:14" x14ac:dyDescent="0.25">
      <c r="B1144" s="87"/>
      <c r="C1144" s="20"/>
      <c r="D1144" s="20"/>
      <c r="E1144" s="20"/>
      <c r="F1144" s="20"/>
      <c r="G1144" s="20"/>
      <c r="H1144" s="20"/>
      <c r="I1144" s="20"/>
      <c r="J1144" s="20"/>
      <c r="K1144" s="20"/>
      <c r="L1144" s="20"/>
      <c r="M1144" s="20"/>
      <c r="N1144" s="48"/>
    </row>
    <row r="1145" spans="2:14" x14ac:dyDescent="0.25">
      <c r="B1145" s="87"/>
      <c r="C1145" s="20"/>
      <c r="D1145" s="20"/>
      <c r="E1145" s="20"/>
      <c r="F1145" s="20"/>
      <c r="G1145" s="20"/>
      <c r="H1145" s="20"/>
      <c r="I1145" s="20"/>
      <c r="J1145" s="20"/>
      <c r="K1145" s="20"/>
      <c r="L1145" s="20"/>
      <c r="M1145" s="20"/>
      <c r="N1145" s="48"/>
    </row>
    <row r="1146" spans="2:14" x14ac:dyDescent="0.25">
      <c r="B1146" s="87"/>
      <c r="C1146" s="20"/>
      <c r="D1146" s="20"/>
      <c r="E1146" s="20"/>
      <c r="F1146" s="20"/>
      <c r="G1146" s="20"/>
      <c r="H1146" s="20"/>
      <c r="I1146" s="20"/>
      <c r="J1146" s="20"/>
      <c r="K1146" s="20"/>
      <c r="L1146" s="20"/>
      <c r="M1146" s="20"/>
      <c r="N1146" s="48"/>
    </row>
    <row r="1147" spans="2:14" x14ac:dyDescent="0.25">
      <c r="B1147" s="87"/>
      <c r="C1147" s="20"/>
      <c r="D1147" s="20"/>
      <c r="E1147" s="20"/>
      <c r="F1147" s="20"/>
      <c r="G1147" s="20"/>
      <c r="H1147" s="20"/>
      <c r="I1147" s="20"/>
      <c r="J1147" s="20"/>
      <c r="K1147" s="20"/>
      <c r="L1147" s="20"/>
      <c r="M1147" s="20"/>
      <c r="N1147" s="48"/>
    </row>
    <row r="1148" spans="2:14" x14ac:dyDescent="0.25">
      <c r="B1148" s="87"/>
      <c r="C1148" s="20"/>
      <c r="D1148" s="20"/>
      <c r="E1148" s="20"/>
      <c r="F1148" s="20"/>
      <c r="G1148" s="20"/>
      <c r="H1148" s="20"/>
      <c r="I1148" s="20"/>
      <c r="J1148" s="20"/>
      <c r="K1148" s="20"/>
      <c r="L1148" s="20"/>
      <c r="M1148" s="20"/>
      <c r="N1148" s="48"/>
    </row>
    <row r="1149" spans="2:14" x14ac:dyDescent="0.25">
      <c r="B1149" s="87"/>
      <c r="C1149" s="20"/>
      <c r="D1149" s="20"/>
      <c r="E1149" s="20"/>
      <c r="F1149" s="20"/>
      <c r="G1149" s="20"/>
      <c r="H1149" s="20"/>
      <c r="I1149" s="20"/>
      <c r="J1149" s="20"/>
      <c r="K1149" s="20"/>
      <c r="L1149" s="20"/>
      <c r="M1149" s="20"/>
      <c r="N1149" s="48"/>
    </row>
    <row r="1150" spans="2:14" x14ac:dyDescent="0.25">
      <c r="B1150" s="87"/>
      <c r="C1150" s="20"/>
      <c r="D1150" s="20"/>
      <c r="E1150" s="20"/>
      <c r="F1150" s="20"/>
      <c r="G1150" s="20"/>
      <c r="H1150" s="20"/>
      <c r="I1150" s="20"/>
      <c r="J1150" s="20"/>
      <c r="K1150" s="20"/>
      <c r="L1150" s="20"/>
      <c r="M1150" s="20"/>
      <c r="N1150" s="48"/>
    </row>
    <row r="1151" spans="2:14" x14ac:dyDescent="0.25">
      <c r="B1151" s="87"/>
      <c r="C1151" s="20"/>
      <c r="D1151" s="20"/>
      <c r="E1151" s="20"/>
      <c r="F1151" s="20"/>
      <c r="G1151" s="20"/>
      <c r="H1151" s="20"/>
      <c r="I1151" s="20"/>
      <c r="J1151" s="20"/>
      <c r="K1151" s="20"/>
      <c r="L1151" s="20"/>
      <c r="M1151" s="20"/>
      <c r="N1151" s="48"/>
    </row>
    <row r="1152" spans="2:14" x14ac:dyDescent="0.25">
      <c r="B1152" s="87"/>
      <c r="C1152" s="20"/>
      <c r="D1152" s="20"/>
      <c r="E1152" s="20"/>
      <c r="F1152" s="20"/>
      <c r="G1152" s="20"/>
      <c r="H1152" s="20"/>
      <c r="I1152" s="20"/>
      <c r="J1152" s="20"/>
      <c r="K1152" s="20"/>
      <c r="L1152" s="20"/>
      <c r="M1152" s="20"/>
      <c r="N1152" s="48"/>
    </row>
    <row r="1153" spans="2:14" x14ac:dyDescent="0.25">
      <c r="B1153" s="87"/>
      <c r="C1153" s="20"/>
      <c r="D1153" s="20"/>
      <c r="E1153" s="20"/>
      <c r="F1153" s="20"/>
      <c r="G1153" s="20"/>
      <c r="H1153" s="20"/>
      <c r="I1153" s="20"/>
      <c r="J1153" s="20"/>
      <c r="K1153" s="20"/>
      <c r="L1153" s="20"/>
      <c r="M1153" s="20"/>
      <c r="N1153" s="48"/>
    </row>
    <row r="1154" spans="2:14" x14ac:dyDescent="0.25">
      <c r="B1154" s="87"/>
      <c r="C1154" s="20"/>
      <c r="D1154" s="20"/>
      <c r="E1154" s="20"/>
      <c r="F1154" s="20"/>
      <c r="G1154" s="20"/>
      <c r="H1154" s="20"/>
      <c r="I1154" s="20"/>
      <c r="J1154" s="20"/>
      <c r="K1154" s="20"/>
      <c r="L1154" s="20"/>
      <c r="M1154" s="20"/>
      <c r="N1154" s="48"/>
    </row>
    <row r="1155" spans="2:14" s="9" customFormat="1" ht="6.75" customHeight="1" thickBot="1" x14ac:dyDescent="0.3">
      <c r="B1155" s="97"/>
      <c r="C1155" s="89"/>
      <c r="D1155" s="89"/>
      <c r="E1155" s="89"/>
      <c r="F1155" s="89"/>
      <c r="G1155" s="89"/>
      <c r="H1155" s="89"/>
      <c r="I1155" s="89"/>
      <c r="J1155" s="89"/>
      <c r="K1155" s="89"/>
      <c r="L1155" s="89"/>
      <c r="M1155" s="89"/>
      <c r="N1155" s="90"/>
    </row>
    <row r="1156" spans="2:14" s="9" customFormat="1" ht="6.75" customHeight="1" x14ac:dyDescent="0.25">
      <c r="B1156" s="96"/>
    </row>
    <row r="1157" spans="2:14" s="9" customFormat="1" ht="6.75" customHeight="1" thickBot="1" x14ac:dyDescent="0.3">
      <c r="B1157" s="96"/>
    </row>
    <row r="1158" spans="2:14" s="9" customFormat="1" ht="6.75" customHeight="1" thickBot="1" x14ac:dyDescent="0.3">
      <c r="B1158" s="98"/>
      <c r="C1158" s="91"/>
      <c r="D1158" s="91"/>
      <c r="E1158" s="91"/>
      <c r="F1158" s="91"/>
      <c r="G1158" s="91"/>
      <c r="H1158" s="91"/>
      <c r="I1158" s="91"/>
      <c r="J1158" s="91"/>
      <c r="K1158" s="91"/>
      <c r="L1158" s="91"/>
      <c r="M1158" s="91"/>
      <c r="N1158" s="92"/>
    </row>
    <row r="1159" spans="2:14" s="6" customFormat="1" ht="30" customHeight="1" thickBot="1" x14ac:dyDescent="0.3">
      <c r="B1159" s="84"/>
      <c r="C1159" s="165" t="s">
        <v>316</v>
      </c>
      <c r="D1159" s="166"/>
      <c r="E1159" s="166"/>
      <c r="F1159" s="166"/>
      <c r="G1159" s="166"/>
      <c r="H1159" s="166"/>
      <c r="I1159" s="166"/>
      <c r="J1159" s="166"/>
      <c r="K1159" s="166"/>
      <c r="L1159" s="166"/>
      <c r="M1159" s="167"/>
      <c r="N1159" s="85"/>
    </row>
    <row r="1160" spans="2:14" ht="4.5" customHeight="1" x14ac:dyDescent="0.25">
      <c r="B1160" s="103"/>
      <c r="C1160" s="78"/>
      <c r="D1160" s="78"/>
      <c r="E1160" s="78"/>
      <c r="F1160" s="78"/>
      <c r="G1160" s="78"/>
      <c r="H1160" s="78"/>
      <c r="I1160" s="78"/>
      <c r="J1160" s="78"/>
      <c r="K1160" s="78"/>
      <c r="L1160" s="20"/>
      <c r="M1160" s="20"/>
      <c r="N1160" s="48"/>
    </row>
    <row r="1161" spans="2:14" ht="29.25" customHeight="1" x14ac:dyDescent="0.25">
      <c r="B1161" s="103"/>
      <c r="C1161" s="622" t="s">
        <v>317</v>
      </c>
      <c r="D1161" s="623"/>
      <c r="E1161" s="623"/>
      <c r="F1161" s="623"/>
      <c r="G1161" s="623"/>
      <c r="H1161" s="623"/>
      <c r="I1161" s="623"/>
      <c r="J1161" s="623"/>
      <c r="K1161" s="623"/>
      <c r="L1161" s="624"/>
      <c r="M1161" s="625"/>
      <c r="N1161" s="48"/>
    </row>
    <row r="1162" spans="2:14" ht="65.25" customHeight="1" x14ac:dyDescent="0.25">
      <c r="B1162" s="103"/>
      <c r="C1162" s="626"/>
      <c r="D1162" s="627"/>
      <c r="E1162" s="627"/>
      <c r="F1162" s="627"/>
      <c r="G1162" s="627"/>
      <c r="H1162" s="627"/>
      <c r="I1162" s="627"/>
      <c r="J1162" s="627"/>
      <c r="K1162" s="627"/>
      <c r="L1162" s="616"/>
      <c r="M1162" s="617"/>
      <c r="N1162" s="48"/>
    </row>
    <row r="1163" spans="2:14" ht="78" customHeight="1" x14ac:dyDescent="0.25">
      <c r="B1163" s="103"/>
      <c r="C1163" s="626" t="s">
        <v>243</v>
      </c>
      <c r="D1163" s="627"/>
      <c r="E1163" s="627"/>
      <c r="F1163" s="627"/>
      <c r="G1163" s="627"/>
      <c r="H1163" s="627"/>
      <c r="I1163" s="627"/>
      <c r="J1163" s="627"/>
      <c r="K1163" s="627"/>
      <c r="L1163" s="616"/>
      <c r="M1163" s="617"/>
      <c r="N1163" s="48"/>
    </row>
    <row r="1164" spans="2:14" ht="12" customHeight="1" x14ac:dyDescent="0.25">
      <c r="B1164" s="103"/>
      <c r="C1164" s="553" t="s">
        <v>82</v>
      </c>
      <c r="D1164" s="554"/>
      <c r="E1164" s="554"/>
      <c r="F1164" s="554"/>
      <c r="G1164" s="554"/>
      <c r="H1164" s="554"/>
      <c r="I1164" s="554"/>
      <c r="J1164" s="554"/>
      <c r="K1164" s="554"/>
      <c r="L1164" s="616"/>
      <c r="M1164" s="617"/>
      <c r="N1164" s="48"/>
    </row>
    <row r="1165" spans="2:14" ht="12" customHeight="1" x14ac:dyDescent="0.25">
      <c r="B1165" s="103"/>
      <c r="C1165" s="553" t="s">
        <v>83</v>
      </c>
      <c r="D1165" s="554"/>
      <c r="E1165" s="554"/>
      <c r="F1165" s="554"/>
      <c r="G1165" s="554"/>
      <c r="H1165" s="554"/>
      <c r="I1165" s="554"/>
      <c r="J1165" s="554"/>
      <c r="K1165" s="554"/>
      <c r="L1165" s="616"/>
      <c r="M1165" s="617"/>
      <c r="N1165" s="48"/>
    </row>
    <row r="1166" spans="2:14" ht="12" customHeight="1" x14ac:dyDescent="0.25">
      <c r="B1166" s="103"/>
      <c r="C1166" s="553" t="s">
        <v>84</v>
      </c>
      <c r="D1166" s="554"/>
      <c r="E1166" s="554"/>
      <c r="F1166" s="554"/>
      <c r="G1166" s="554"/>
      <c r="H1166" s="554"/>
      <c r="I1166" s="554"/>
      <c r="J1166" s="554"/>
      <c r="K1166" s="554"/>
      <c r="L1166" s="616"/>
      <c r="M1166" s="617"/>
      <c r="N1166" s="48"/>
    </row>
    <row r="1167" spans="2:14" ht="12" customHeight="1" x14ac:dyDescent="0.25">
      <c r="B1167" s="103"/>
      <c r="C1167" s="553" t="s">
        <v>85</v>
      </c>
      <c r="D1167" s="554"/>
      <c r="E1167" s="554"/>
      <c r="F1167" s="554"/>
      <c r="G1167" s="554"/>
      <c r="H1167" s="554"/>
      <c r="I1167" s="554"/>
      <c r="J1167" s="554"/>
      <c r="K1167" s="554"/>
      <c r="L1167" s="616"/>
      <c r="M1167" s="617"/>
      <c r="N1167" s="48"/>
    </row>
    <row r="1168" spans="2:14" ht="51" customHeight="1" x14ac:dyDescent="0.25">
      <c r="B1168" s="103"/>
      <c r="C1168" s="628" t="s">
        <v>86</v>
      </c>
      <c r="D1168" s="629"/>
      <c r="E1168" s="629"/>
      <c r="F1168" s="629"/>
      <c r="G1168" s="629"/>
      <c r="H1168" s="629"/>
      <c r="I1168" s="629"/>
      <c r="J1168" s="629"/>
      <c r="K1168" s="629"/>
      <c r="L1168" s="616"/>
      <c r="M1168" s="617"/>
      <c r="N1168" s="48"/>
    </row>
    <row r="1169" spans="2:14" ht="33" customHeight="1" x14ac:dyDescent="0.25">
      <c r="B1169" s="103"/>
      <c r="C1169" s="553" t="s">
        <v>318</v>
      </c>
      <c r="D1169" s="554"/>
      <c r="E1169" s="554"/>
      <c r="F1169" s="554"/>
      <c r="G1169" s="554"/>
      <c r="H1169" s="554"/>
      <c r="I1169" s="554"/>
      <c r="J1169" s="554"/>
      <c r="K1169" s="554"/>
      <c r="L1169" s="616"/>
      <c r="M1169" s="617"/>
      <c r="N1169" s="48"/>
    </row>
    <row r="1170" spans="2:14" ht="25.5" customHeight="1" x14ac:dyDescent="0.25">
      <c r="B1170" s="103"/>
      <c r="C1170" s="553" t="s">
        <v>244</v>
      </c>
      <c r="D1170" s="554"/>
      <c r="E1170" s="554"/>
      <c r="F1170" s="554"/>
      <c r="G1170" s="554"/>
      <c r="H1170" s="554"/>
      <c r="I1170" s="554"/>
      <c r="J1170" s="554"/>
      <c r="K1170" s="554"/>
      <c r="L1170" s="616"/>
      <c r="M1170" s="617"/>
      <c r="N1170" s="48"/>
    </row>
    <row r="1171" spans="2:14" ht="12" customHeight="1" x14ac:dyDescent="0.25">
      <c r="B1171" s="103"/>
      <c r="C1171" s="630"/>
      <c r="D1171" s="616"/>
      <c r="E1171" s="616"/>
      <c r="F1171" s="616"/>
      <c r="G1171" s="616"/>
      <c r="H1171" s="616"/>
      <c r="I1171" s="616"/>
      <c r="J1171" s="616"/>
      <c r="K1171" s="616"/>
      <c r="L1171" s="616"/>
      <c r="M1171" s="617"/>
      <c r="N1171" s="48"/>
    </row>
    <row r="1172" spans="2:14" ht="12" x14ac:dyDescent="0.25">
      <c r="B1172" s="103"/>
      <c r="C1172" s="553"/>
      <c r="D1172" s="554"/>
      <c r="E1172" s="554"/>
      <c r="F1172" s="554"/>
      <c r="G1172" s="554"/>
      <c r="H1172" s="554"/>
      <c r="I1172" s="554"/>
      <c r="J1172" s="554"/>
      <c r="K1172" s="554"/>
      <c r="L1172" s="142"/>
      <c r="M1172" s="143"/>
      <c r="N1172" s="48"/>
    </row>
    <row r="1173" spans="2:14" ht="38.25" customHeight="1" x14ac:dyDescent="0.25">
      <c r="B1173" s="103"/>
      <c r="C1173" s="610" t="s">
        <v>242</v>
      </c>
      <c r="D1173" s="611"/>
      <c r="E1173" s="611"/>
      <c r="F1173" s="611"/>
      <c r="G1173" s="611"/>
      <c r="H1173" s="611"/>
      <c r="I1173" s="611"/>
      <c r="J1173" s="611"/>
      <c r="K1173" s="611"/>
      <c r="L1173" s="612"/>
      <c r="M1173" s="613"/>
      <c r="N1173" s="48"/>
    </row>
    <row r="1174" spans="2:14" ht="12" x14ac:dyDescent="0.25">
      <c r="B1174" s="103"/>
      <c r="C1174" s="555"/>
      <c r="D1174" s="556"/>
      <c r="E1174" s="556"/>
      <c r="F1174" s="556"/>
      <c r="G1174" s="556"/>
      <c r="H1174" s="556"/>
      <c r="I1174" s="556"/>
      <c r="J1174" s="556"/>
      <c r="K1174" s="556"/>
      <c r="L1174" s="168"/>
      <c r="M1174" s="169"/>
      <c r="N1174" s="48"/>
    </row>
    <row r="1175" spans="2:14" ht="12" x14ac:dyDescent="0.25">
      <c r="B1175" s="103"/>
      <c r="C1175" s="553"/>
      <c r="D1175" s="554"/>
      <c r="E1175" s="554"/>
      <c r="F1175" s="554"/>
      <c r="G1175" s="554"/>
      <c r="H1175" s="554"/>
      <c r="I1175" s="554"/>
      <c r="J1175" s="554"/>
      <c r="K1175" s="554"/>
      <c r="L1175" s="142"/>
      <c r="M1175" s="143"/>
      <c r="N1175" s="48"/>
    </row>
    <row r="1176" spans="2:14" ht="12" customHeight="1" x14ac:dyDescent="0.2">
      <c r="B1176" s="103"/>
      <c r="C1176" s="11"/>
      <c r="D1176" s="12"/>
      <c r="E1176" s="130" t="s">
        <v>87</v>
      </c>
      <c r="F1176" s="129"/>
      <c r="G1176" s="129"/>
      <c r="H1176" s="129"/>
      <c r="I1176" s="130" t="s">
        <v>88</v>
      </c>
      <c r="J1176" s="129"/>
      <c r="K1176" s="13"/>
      <c r="L1176" s="19"/>
      <c r="M1176" s="173"/>
      <c r="N1176" s="48"/>
    </row>
    <row r="1177" spans="2:14" ht="22.5" customHeight="1" x14ac:dyDescent="0.2">
      <c r="B1177" s="103"/>
      <c r="C1177" s="14"/>
      <c r="D1177" s="15" t="s">
        <v>89</v>
      </c>
      <c r="E1177" s="548"/>
      <c r="F1177" s="549"/>
      <c r="G1177" s="549"/>
      <c r="H1177" s="550"/>
      <c r="I1177" s="548"/>
      <c r="J1177" s="549"/>
      <c r="K1177" s="549"/>
      <c r="L1177" s="550"/>
      <c r="M1177" s="174"/>
      <c r="N1177" s="48"/>
    </row>
    <row r="1178" spans="2:14" ht="12" x14ac:dyDescent="0.2">
      <c r="B1178" s="103"/>
      <c r="C1178" s="14"/>
      <c r="D1178" s="16"/>
      <c r="E1178" s="17"/>
      <c r="F1178" s="17"/>
      <c r="G1178" s="17"/>
      <c r="H1178" s="17"/>
      <c r="I1178" s="17"/>
      <c r="J1178" s="17"/>
      <c r="K1178" s="170"/>
      <c r="L1178" s="17"/>
      <c r="M1178" s="174"/>
      <c r="N1178" s="48"/>
    </row>
    <row r="1179" spans="2:14" ht="57" customHeight="1" x14ac:dyDescent="0.2">
      <c r="B1179" s="103"/>
      <c r="C1179" s="551" t="s">
        <v>90</v>
      </c>
      <c r="D1179" s="552"/>
      <c r="E1179" s="22"/>
      <c r="F1179" s="23"/>
      <c r="G1179" s="23"/>
      <c r="H1179" s="24"/>
      <c r="I1179" s="22"/>
      <c r="J1179" s="23"/>
      <c r="K1179" s="23"/>
      <c r="L1179" s="24"/>
      <c r="M1179" s="174"/>
      <c r="N1179" s="48"/>
    </row>
    <row r="1180" spans="2:14" ht="12" x14ac:dyDescent="0.2">
      <c r="B1180" s="103"/>
      <c r="C1180" s="14"/>
      <c r="D1180" s="16"/>
      <c r="E1180" s="17"/>
      <c r="F1180" s="17"/>
      <c r="G1180" s="17"/>
      <c r="H1180" s="17"/>
      <c r="I1180" s="17"/>
      <c r="J1180" s="17"/>
      <c r="K1180" s="170"/>
      <c r="L1180" s="17"/>
      <c r="M1180" s="174"/>
      <c r="N1180" s="48"/>
    </row>
    <row r="1181" spans="2:14" ht="22.5" customHeight="1" x14ac:dyDescent="0.2">
      <c r="B1181" s="103"/>
      <c r="C1181" s="14"/>
      <c r="D1181" s="15" t="s">
        <v>172</v>
      </c>
      <c r="E1181" s="548"/>
      <c r="F1181" s="549"/>
      <c r="G1181" s="549"/>
      <c r="H1181" s="550"/>
      <c r="I1181" s="548"/>
      <c r="J1181" s="549"/>
      <c r="K1181" s="549"/>
      <c r="L1181" s="550"/>
      <c r="M1181" s="174"/>
      <c r="N1181" s="48"/>
    </row>
    <row r="1182" spans="2:14" ht="12" x14ac:dyDescent="0.2">
      <c r="B1182" s="103"/>
      <c r="C1182" s="14"/>
      <c r="D1182" s="16"/>
      <c r="E1182" s="17"/>
      <c r="F1182" s="17"/>
      <c r="G1182" s="17"/>
      <c r="H1182" s="17"/>
      <c r="I1182" s="17"/>
      <c r="J1182" s="17"/>
      <c r="K1182" s="171"/>
      <c r="L1182" s="17"/>
      <c r="M1182" s="174"/>
      <c r="N1182" s="48"/>
    </row>
    <row r="1183" spans="2:14" ht="12" x14ac:dyDescent="0.2">
      <c r="B1183" s="103"/>
      <c r="C1183" s="11"/>
      <c r="D1183" s="12"/>
      <c r="E1183" s="18" t="s">
        <v>91</v>
      </c>
      <c r="F1183" s="18" t="s">
        <v>92</v>
      </c>
      <c r="G1183" s="18" t="s">
        <v>93</v>
      </c>
      <c r="H1183" s="19"/>
      <c r="I1183" s="18" t="s">
        <v>91</v>
      </c>
      <c r="J1183" s="18" t="s">
        <v>92</v>
      </c>
      <c r="K1183" s="172" t="s">
        <v>93</v>
      </c>
      <c r="L1183" s="19"/>
      <c r="M1183" s="173"/>
      <c r="N1183" s="48"/>
    </row>
    <row r="1184" spans="2:14" ht="12" x14ac:dyDescent="0.2">
      <c r="B1184" s="103"/>
      <c r="C1184" s="14"/>
      <c r="D1184" s="15" t="s">
        <v>94</v>
      </c>
      <c r="E1184" s="331"/>
      <c r="F1184" s="332"/>
      <c r="G1184" s="331"/>
      <c r="H1184" s="17"/>
      <c r="I1184" s="331"/>
      <c r="J1184" s="332"/>
      <c r="K1184" s="331"/>
      <c r="L1184" s="17"/>
      <c r="M1184" s="174"/>
      <c r="N1184" s="48"/>
    </row>
    <row r="1185" spans="2:14" ht="12" x14ac:dyDescent="0.2">
      <c r="B1185" s="103"/>
      <c r="C1185" s="175"/>
      <c r="D1185" s="176"/>
      <c r="E1185" s="177"/>
      <c r="F1185" s="177"/>
      <c r="G1185" s="177"/>
      <c r="H1185" s="177"/>
      <c r="I1185" s="177"/>
      <c r="J1185" s="177"/>
      <c r="K1185" s="170"/>
      <c r="L1185" s="177"/>
      <c r="M1185" s="178"/>
      <c r="N1185" s="48"/>
    </row>
    <row r="1186" spans="2:14" ht="12" thickBot="1" x14ac:dyDescent="0.3">
      <c r="B1186" s="83"/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60"/>
    </row>
    <row r="1187" spans="2:14" x14ac:dyDescent="0.25">
      <c r="B1187" s="7"/>
    </row>
    <row r="1188" spans="2:14" x14ac:dyDescent="0.25">
      <c r="B1188" s="7"/>
    </row>
    <row r="1189" spans="2:14" x14ac:dyDescent="0.25">
      <c r="B1189" s="7"/>
    </row>
    <row r="1190" spans="2:14" x14ac:dyDescent="0.25">
      <c r="B1190" s="7"/>
    </row>
    <row r="1191" spans="2:14" x14ac:dyDescent="0.25">
      <c r="B1191" s="7"/>
    </row>
    <row r="1192" spans="2:14" x14ac:dyDescent="0.25">
      <c r="B1192" s="7"/>
    </row>
    <row r="1193" spans="2:14" x14ac:dyDescent="0.25">
      <c r="B1193" s="7"/>
    </row>
    <row r="1194" spans="2:14" x14ac:dyDescent="0.25">
      <c r="B1194" s="7"/>
    </row>
    <row r="1195" spans="2:14" x14ac:dyDescent="0.25">
      <c r="B1195" s="7"/>
    </row>
    <row r="1196" spans="2:14" x14ac:dyDescent="0.25">
      <c r="B1196" s="7"/>
    </row>
    <row r="1197" spans="2:14" x14ac:dyDescent="0.25">
      <c r="B1197" s="7"/>
    </row>
    <row r="1198" spans="2:14" x14ac:dyDescent="0.25">
      <c r="B1198" s="7"/>
    </row>
    <row r="1199" spans="2:14" x14ac:dyDescent="0.25">
      <c r="B1199" s="7"/>
    </row>
    <row r="1200" spans="2:14" x14ac:dyDescent="0.25">
      <c r="B1200" s="7"/>
    </row>
    <row r="1201" spans="2:2" x14ac:dyDescent="0.25">
      <c r="B1201" s="7"/>
    </row>
    <row r="1202" spans="2:2" x14ac:dyDescent="0.25">
      <c r="B1202" s="7"/>
    </row>
    <row r="1203" spans="2:2" x14ac:dyDescent="0.25">
      <c r="B1203" s="7"/>
    </row>
    <row r="1204" spans="2:2" x14ac:dyDescent="0.25">
      <c r="B1204" s="7"/>
    </row>
    <row r="1205" spans="2:2" x14ac:dyDescent="0.25">
      <c r="B1205" s="7"/>
    </row>
    <row r="1206" spans="2:2" x14ac:dyDescent="0.25">
      <c r="B1206" s="7"/>
    </row>
    <row r="1207" spans="2:2" x14ac:dyDescent="0.25">
      <c r="B1207" s="7"/>
    </row>
    <row r="1208" spans="2:2" x14ac:dyDescent="0.25">
      <c r="B1208" s="7"/>
    </row>
    <row r="1209" spans="2:2" x14ac:dyDescent="0.25">
      <c r="B1209" s="7"/>
    </row>
    <row r="1210" spans="2:2" x14ac:dyDescent="0.25">
      <c r="B1210" s="7"/>
    </row>
    <row r="1211" spans="2:2" x14ac:dyDescent="0.25">
      <c r="B1211" s="7"/>
    </row>
  </sheetData>
  <sheetProtection password="F965" sheet="1" objects="1" scenarios="1"/>
  <mergeCells count="715">
    <mergeCell ref="F9:M9"/>
    <mergeCell ref="F7:M7"/>
    <mergeCell ref="F20:M20"/>
    <mergeCell ref="F22:M22"/>
    <mergeCell ref="D235:J235"/>
    <mergeCell ref="C243:J243"/>
    <mergeCell ref="L940:M940"/>
    <mergeCell ref="H940:J940"/>
    <mergeCell ref="H941:J941"/>
    <mergeCell ref="L929:M929"/>
    <mergeCell ref="L930:M930"/>
    <mergeCell ref="L931:M931"/>
    <mergeCell ref="L900:M900"/>
    <mergeCell ref="L901:M901"/>
    <mergeCell ref="L902:M902"/>
    <mergeCell ref="L903:M903"/>
    <mergeCell ref="L904:M904"/>
    <mergeCell ref="L905:M905"/>
    <mergeCell ref="L906:M906"/>
    <mergeCell ref="L907:M907"/>
    <mergeCell ref="L908:M908"/>
    <mergeCell ref="C934:D934"/>
    <mergeCell ref="C935:D935"/>
    <mergeCell ref="C937:D937"/>
    <mergeCell ref="H931:J931"/>
    <mergeCell ref="H932:J932"/>
    <mergeCell ref="H933:J933"/>
    <mergeCell ref="H937:J937"/>
    <mergeCell ref="H919:J919"/>
    <mergeCell ref="H920:J920"/>
    <mergeCell ref="C939:D939"/>
    <mergeCell ref="C936:D936"/>
    <mergeCell ref="C931:D931"/>
    <mergeCell ref="C932:D932"/>
    <mergeCell ref="C933:D933"/>
    <mergeCell ref="C938:D938"/>
    <mergeCell ref="C264:G264"/>
    <mergeCell ref="C265:G265"/>
    <mergeCell ref="C267:G267"/>
    <mergeCell ref="C268:G268"/>
    <mergeCell ref="C270:G270"/>
    <mergeCell ref="C273:G273"/>
    <mergeCell ref="C276:G276"/>
    <mergeCell ref="H929:J929"/>
    <mergeCell ref="H930:J930"/>
    <mergeCell ref="H926:J926"/>
    <mergeCell ref="H927:J927"/>
    <mergeCell ref="H921:J921"/>
    <mergeCell ref="H922:J922"/>
    <mergeCell ref="C930:D930"/>
    <mergeCell ref="C921:D921"/>
    <mergeCell ref="C922:D922"/>
    <mergeCell ref="C923:D923"/>
    <mergeCell ref="C924:D924"/>
    <mergeCell ref="C925:D925"/>
    <mergeCell ref="C926:D926"/>
    <mergeCell ref="C927:D927"/>
    <mergeCell ref="C928:D928"/>
    <mergeCell ref="I843:M843"/>
    <mergeCell ref="I844:M844"/>
    <mergeCell ref="J955:M955"/>
    <mergeCell ref="J956:M956"/>
    <mergeCell ref="J957:M957"/>
    <mergeCell ref="J958:M958"/>
    <mergeCell ref="C167:E167"/>
    <mergeCell ref="D169:E169"/>
    <mergeCell ref="D170:E170"/>
    <mergeCell ref="D171:E171"/>
    <mergeCell ref="D172:E172"/>
    <mergeCell ref="C175:E175"/>
    <mergeCell ref="C178:E178"/>
    <mergeCell ref="C181:E181"/>
    <mergeCell ref="C262:G262"/>
    <mergeCell ref="C186:H186"/>
    <mergeCell ref="C237:J237"/>
    <mergeCell ref="D239:J239"/>
    <mergeCell ref="D241:J241"/>
    <mergeCell ref="D215:J215"/>
    <mergeCell ref="D225:J225"/>
    <mergeCell ref="C209:H209"/>
    <mergeCell ref="C211:H211"/>
    <mergeCell ref="G246:H246"/>
    <mergeCell ref="G248:H248"/>
    <mergeCell ref="D233:J233"/>
    <mergeCell ref="L943:M943"/>
    <mergeCell ref="J950:M950"/>
    <mergeCell ref="J951:M951"/>
    <mergeCell ref="J952:M952"/>
    <mergeCell ref="J953:M953"/>
    <mergeCell ref="J954:M954"/>
    <mergeCell ref="L941:M941"/>
    <mergeCell ref="L942:M942"/>
    <mergeCell ref="L932:M932"/>
    <mergeCell ref="L933:M933"/>
    <mergeCell ref="L934:M934"/>
    <mergeCell ref="L935:M935"/>
    <mergeCell ref="L936:M936"/>
    <mergeCell ref="L937:M937"/>
    <mergeCell ref="L938:M938"/>
    <mergeCell ref="L939:M939"/>
    <mergeCell ref="H934:J934"/>
    <mergeCell ref="H935:J935"/>
    <mergeCell ref="H936:J936"/>
    <mergeCell ref="H942:J942"/>
    <mergeCell ref="H943:J943"/>
    <mergeCell ref="H938:J938"/>
    <mergeCell ref="H939:J939"/>
    <mergeCell ref="C940:D940"/>
    <mergeCell ref="C941:D941"/>
    <mergeCell ref="C942:D942"/>
    <mergeCell ref="C943:D943"/>
    <mergeCell ref="H899:J899"/>
    <mergeCell ref="H900:J900"/>
    <mergeCell ref="H901:J901"/>
    <mergeCell ref="H902:J902"/>
    <mergeCell ref="H903:J903"/>
    <mergeCell ref="H904:J904"/>
    <mergeCell ref="H905:J905"/>
    <mergeCell ref="H906:J906"/>
    <mergeCell ref="H907:J907"/>
    <mergeCell ref="H908:J908"/>
    <mergeCell ref="H909:J909"/>
    <mergeCell ref="H910:J910"/>
    <mergeCell ref="H911:J911"/>
    <mergeCell ref="H912:J912"/>
    <mergeCell ref="H913:J913"/>
    <mergeCell ref="H914:J914"/>
    <mergeCell ref="H915:J915"/>
    <mergeCell ref="H916:J916"/>
    <mergeCell ref="C929:D929"/>
    <mergeCell ref="H925:J925"/>
    <mergeCell ref="L918:M918"/>
    <mergeCell ref="H928:J928"/>
    <mergeCell ref="L919:M919"/>
    <mergeCell ref="L920:M920"/>
    <mergeCell ref="L921:M921"/>
    <mergeCell ref="L922:M922"/>
    <mergeCell ref="L909:M909"/>
    <mergeCell ref="L910:M910"/>
    <mergeCell ref="L911:M911"/>
    <mergeCell ref="L912:M912"/>
    <mergeCell ref="L913:M913"/>
    <mergeCell ref="L914:M914"/>
    <mergeCell ref="L915:M915"/>
    <mergeCell ref="L916:M916"/>
    <mergeCell ref="L923:M923"/>
    <mergeCell ref="L924:M924"/>
    <mergeCell ref="L925:M925"/>
    <mergeCell ref="L926:M926"/>
    <mergeCell ref="L927:M927"/>
    <mergeCell ref="L928:M928"/>
    <mergeCell ref="H917:J917"/>
    <mergeCell ref="H918:J918"/>
    <mergeCell ref="H923:J923"/>
    <mergeCell ref="H924:J924"/>
    <mergeCell ref="I845:M845"/>
    <mergeCell ref="I846:M846"/>
    <mergeCell ref="C915:D915"/>
    <mergeCell ref="C916:D916"/>
    <mergeCell ref="C917:D917"/>
    <mergeCell ref="C906:D906"/>
    <mergeCell ref="C907:D907"/>
    <mergeCell ref="C908:D908"/>
    <mergeCell ref="C909:D909"/>
    <mergeCell ref="C910:D910"/>
    <mergeCell ref="C911:D911"/>
    <mergeCell ref="C912:D912"/>
    <mergeCell ref="C913:D913"/>
    <mergeCell ref="C914:D914"/>
    <mergeCell ref="C899:D899"/>
    <mergeCell ref="C900:D900"/>
    <mergeCell ref="C901:D901"/>
    <mergeCell ref="C902:D902"/>
    <mergeCell ref="C903:D903"/>
    <mergeCell ref="C904:D904"/>
    <mergeCell ref="L917:M917"/>
    <mergeCell ref="L899:M899"/>
    <mergeCell ref="I847:M847"/>
    <mergeCell ref="I848:M848"/>
    <mergeCell ref="I831:M831"/>
    <mergeCell ref="I832:M832"/>
    <mergeCell ref="I833:M833"/>
    <mergeCell ref="I834:M834"/>
    <mergeCell ref="I835:M835"/>
    <mergeCell ref="I836:M836"/>
    <mergeCell ref="I837:M837"/>
    <mergeCell ref="I838:M838"/>
    <mergeCell ref="I839:M839"/>
    <mergeCell ref="K404:L404"/>
    <mergeCell ref="K417:L417"/>
    <mergeCell ref="K430:L430"/>
    <mergeCell ref="C287:E287"/>
    <mergeCell ref="C339:E339"/>
    <mergeCell ref="C352:E352"/>
    <mergeCell ref="C365:E365"/>
    <mergeCell ref="C378:E378"/>
    <mergeCell ref="C391:E391"/>
    <mergeCell ref="C404:E404"/>
    <mergeCell ref="C417:E417"/>
    <mergeCell ref="C430:E430"/>
    <mergeCell ref="K287:L287"/>
    <mergeCell ref="K365:L365"/>
    <mergeCell ref="C271:G271"/>
    <mergeCell ref="C274:G274"/>
    <mergeCell ref="C277:G277"/>
    <mergeCell ref="I840:M840"/>
    <mergeCell ref="I841:M841"/>
    <mergeCell ref="I842:M842"/>
    <mergeCell ref="L1117:L1118"/>
    <mergeCell ref="C313:E313"/>
    <mergeCell ref="C326:E326"/>
    <mergeCell ref="C286:E286"/>
    <mergeCell ref="K528:L528"/>
    <mergeCell ref="K541:L541"/>
    <mergeCell ref="K443:L443"/>
    <mergeCell ref="K456:L456"/>
    <mergeCell ref="K475:L475"/>
    <mergeCell ref="C443:E443"/>
    <mergeCell ref="C456:E456"/>
    <mergeCell ref="I980:M980"/>
    <mergeCell ref="I981:M981"/>
    <mergeCell ref="I982:M982"/>
    <mergeCell ref="I983:M983"/>
    <mergeCell ref="I984:M984"/>
    <mergeCell ref="I825:M825"/>
    <mergeCell ref="I826:M826"/>
    <mergeCell ref="K666:L666"/>
    <mergeCell ref="K679:L679"/>
    <mergeCell ref="K781:M781"/>
    <mergeCell ref="K782:M782"/>
    <mergeCell ref="C783:E783"/>
    <mergeCell ref="C784:E784"/>
    <mergeCell ref="C785:E785"/>
    <mergeCell ref="C786:E786"/>
    <mergeCell ref="K783:M783"/>
    <mergeCell ref="K784:M784"/>
    <mergeCell ref="K785:M785"/>
    <mergeCell ref="K786:M786"/>
    <mergeCell ref="C780:E780"/>
    <mergeCell ref="C781:E781"/>
    <mergeCell ref="C782:E782"/>
    <mergeCell ref="C767:F767"/>
    <mergeCell ref="C769:F769"/>
    <mergeCell ref="C771:F771"/>
    <mergeCell ref="J771:K771"/>
    <mergeCell ref="H774:I774"/>
    <mergeCell ref="F774:F775"/>
    <mergeCell ref="G774:G775"/>
    <mergeCell ref="J774:J775"/>
    <mergeCell ref="K774:M775"/>
    <mergeCell ref="I1181:L1181"/>
    <mergeCell ref="C5:M5"/>
    <mergeCell ref="C1161:M1162"/>
    <mergeCell ref="C1163:M1163"/>
    <mergeCell ref="C1164:M1164"/>
    <mergeCell ref="C1165:M1165"/>
    <mergeCell ref="C1166:M1166"/>
    <mergeCell ref="C1167:M1167"/>
    <mergeCell ref="C1168:M1168"/>
    <mergeCell ref="C593:G593"/>
    <mergeCell ref="C970:E970"/>
    <mergeCell ref="C206:H206"/>
    <mergeCell ref="C502:E502"/>
    <mergeCell ref="C515:E515"/>
    <mergeCell ref="C1009:G1009"/>
    <mergeCell ref="C996:G996"/>
    <mergeCell ref="C1170:M1171"/>
    <mergeCell ref="C1012:G1012"/>
    <mergeCell ref="C1040:F1040"/>
    <mergeCell ref="C1041:F1041"/>
    <mergeCell ref="C1033:F1033"/>
    <mergeCell ref="K1021:K1022"/>
    <mergeCell ref="C1021:F1022"/>
    <mergeCell ref="G1021:J1021"/>
    <mergeCell ref="C1121:G1121"/>
    <mergeCell ref="E1177:H1177"/>
    <mergeCell ref="C1094:J1094"/>
    <mergeCell ref="C1095:J1095"/>
    <mergeCell ref="C1119:G1119"/>
    <mergeCell ref="C1129:G1129"/>
    <mergeCell ref="C1124:G1124"/>
    <mergeCell ref="C1125:G1125"/>
    <mergeCell ref="C1120:G1120"/>
    <mergeCell ref="C1136:G1136"/>
    <mergeCell ref="C1126:G1126"/>
    <mergeCell ref="C1175:K1175"/>
    <mergeCell ref="C1127:G1127"/>
    <mergeCell ref="C1128:G1128"/>
    <mergeCell ref="C1134:G1134"/>
    <mergeCell ref="C1135:G1135"/>
    <mergeCell ref="C1131:G1131"/>
    <mergeCell ref="C1123:G1123"/>
    <mergeCell ref="C1173:M1173"/>
    <mergeCell ref="I1177:L1177"/>
    <mergeCell ref="C1122:G1122"/>
    <mergeCell ref="H1117:H1118"/>
    <mergeCell ref="C1169:M1169"/>
    <mergeCell ref="B1031:B1032"/>
    <mergeCell ref="C1029:F1029"/>
    <mergeCell ref="C1034:F1034"/>
    <mergeCell ref="C1011:G1011"/>
    <mergeCell ref="C997:G997"/>
    <mergeCell ref="C998:G998"/>
    <mergeCell ref="C999:G999"/>
    <mergeCell ref="B1021:B1022"/>
    <mergeCell ref="C1025:F1025"/>
    <mergeCell ref="C1031:F1032"/>
    <mergeCell ref="C1013:G1013"/>
    <mergeCell ref="C1014:G1014"/>
    <mergeCell ref="C1028:F1028"/>
    <mergeCell ref="C1026:F1026"/>
    <mergeCell ref="C1017:G1017"/>
    <mergeCell ref="G1031:J1031"/>
    <mergeCell ref="C1015:G1015"/>
    <mergeCell ref="C1016:G1016"/>
    <mergeCell ref="C1023:F1023"/>
    <mergeCell ref="C1024:F1024"/>
    <mergeCell ref="C1020:K1020"/>
    <mergeCell ref="J1014:M1014"/>
    <mergeCell ref="J1015:M1015"/>
    <mergeCell ref="J1016:M1016"/>
    <mergeCell ref="J1017:M1017"/>
    <mergeCell ref="C982:G982"/>
    <mergeCell ref="C988:G988"/>
    <mergeCell ref="C989:G989"/>
    <mergeCell ref="C990:G990"/>
    <mergeCell ref="I989:M989"/>
    <mergeCell ref="I990:M990"/>
    <mergeCell ref="I991:M991"/>
    <mergeCell ref="C991:G991"/>
    <mergeCell ref="I985:M985"/>
    <mergeCell ref="I986:M986"/>
    <mergeCell ref="I987:M987"/>
    <mergeCell ref="I988:M988"/>
    <mergeCell ref="I1000:M1000"/>
    <mergeCell ref="J1007:M1007"/>
    <mergeCell ref="J1008:M1008"/>
    <mergeCell ref="J1009:M1009"/>
    <mergeCell ref="J1010:M1010"/>
    <mergeCell ref="J1011:M1011"/>
    <mergeCell ref="J1012:M1012"/>
    <mergeCell ref="J1013:M1013"/>
    <mergeCell ref="C995:G995"/>
    <mergeCell ref="I992:M992"/>
    <mergeCell ref="I993:M993"/>
    <mergeCell ref="J960:M960"/>
    <mergeCell ref="I994:M994"/>
    <mergeCell ref="I995:M995"/>
    <mergeCell ref="I996:M996"/>
    <mergeCell ref="I997:M997"/>
    <mergeCell ref="I998:M998"/>
    <mergeCell ref="I999:M999"/>
    <mergeCell ref="C980:G980"/>
    <mergeCell ref="C981:G981"/>
    <mergeCell ref="C973:E973"/>
    <mergeCell ref="F973:G973"/>
    <mergeCell ref="H973:M973"/>
    <mergeCell ref="C956:E956"/>
    <mergeCell ref="F956:G956"/>
    <mergeCell ref="H956:I956"/>
    <mergeCell ref="C955:E955"/>
    <mergeCell ref="F955:G955"/>
    <mergeCell ref="C969:E969"/>
    <mergeCell ref="F969:G969"/>
    <mergeCell ref="F971:G971"/>
    <mergeCell ref="F972:G972"/>
    <mergeCell ref="C960:E960"/>
    <mergeCell ref="F960:G960"/>
    <mergeCell ref="H960:I960"/>
    <mergeCell ref="C959:E959"/>
    <mergeCell ref="F959:G959"/>
    <mergeCell ref="H959:I959"/>
    <mergeCell ref="C972:E972"/>
    <mergeCell ref="C971:E971"/>
    <mergeCell ref="H970:M970"/>
    <mergeCell ref="H971:M971"/>
    <mergeCell ref="F970:G970"/>
    <mergeCell ref="H968:M968"/>
    <mergeCell ref="H969:M969"/>
    <mergeCell ref="H972:M972"/>
    <mergeCell ref="J959:M959"/>
    <mergeCell ref="D217:J217"/>
    <mergeCell ref="C101:E101"/>
    <mergeCell ref="C255:H255"/>
    <mergeCell ref="C754:D754"/>
    <mergeCell ref="C746:D746"/>
    <mergeCell ref="C723:K728"/>
    <mergeCell ref="C600:E600"/>
    <mergeCell ref="C601:E601"/>
    <mergeCell ref="C614:E614"/>
    <mergeCell ref="C223:J223"/>
    <mergeCell ref="D229:J229"/>
    <mergeCell ref="D227:J227"/>
    <mergeCell ref="C698:D698"/>
    <mergeCell ref="C213:J213"/>
    <mergeCell ref="D219:J219"/>
    <mergeCell ref="C699:K704"/>
    <mergeCell ref="K586:L586"/>
    <mergeCell ref="K587:L587"/>
    <mergeCell ref="K588:L588"/>
    <mergeCell ref="C554:E554"/>
    <mergeCell ref="C567:E567"/>
    <mergeCell ref="C587:G587"/>
    <mergeCell ref="C588:G588"/>
    <mergeCell ref="C589:G589"/>
    <mergeCell ref="C475:E475"/>
    <mergeCell ref="C476:E476"/>
    <mergeCell ref="C528:E528"/>
    <mergeCell ref="C541:E541"/>
    <mergeCell ref="C905:D905"/>
    <mergeCell ref="C918:D918"/>
    <mergeCell ref="C919:D919"/>
    <mergeCell ref="C920:D920"/>
    <mergeCell ref="B699:B704"/>
    <mergeCell ref="C586:G586"/>
    <mergeCell ref="C590:G590"/>
    <mergeCell ref="C591:G591"/>
    <mergeCell ref="C592:G592"/>
    <mergeCell ref="B755:B760"/>
    <mergeCell ref="C755:K760"/>
    <mergeCell ref="B731:B736"/>
    <mergeCell ref="C731:K736"/>
    <mergeCell ref="B739:B744"/>
    <mergeCell ref="C739:K744"/>
    <mergeCell ref="C791:E791"/>
    <mergeCell ref="C792:E792"/>
    <mergeCell ref="C793:E793"/>
    <mergeCell ref="J767:K767"/>
    <mergeCell ref="G767:H767"/>
    <mergeCell ref="C7:D7"/>
    <mergeCell ref="C9:D9"/>
    <mergeCell ref="C15:D15"/>
    <mergeCell ref="C56:D56"/>
    <mergeCell ref="C17:D18"/>
    <mergeCell ref="C11:D11"/>
    <mergeCell ref="C24:D24"/>
    <mergeCell ref="C26:D26"/>
    <mergeCell ref="C30:D30"/>
    <mergeCell ref="C22:D22"/>
    <mergeCell ref="C28:D28"/>
    <mergeCell ref="C20:D20"/>
    <mergeCell ref="C13:D13"/>
    <mergeCell ref="C32:D32"/>
    <mergeCell ref="C39:E39"/>
    <mergeCell ref="C55:E55"/>
    <mergeCell ref="I827:M827"/>
    <mergeCell ref="I828:M828"/>
    <mergeCell ref="I829:M829"/>
    <mergeCell ref="I830:M830"/>
    <mergeCell ref="B707:B712"/>
    <mergeCell ref="B715:B720"/>
    <mergeCell ref="B747:B752"/>
    <mergeCell ref="C747:K752"/>
    <mergeCell ref="B723:B728"/>
    <mergeCell ref="C707:K712"/>
    <mergeCell ref="C738:D738"/>
    <mergeCell ref="C730:D730"/>
    <mergeCell ref="C722:D722"/>
    <mergeCell ref="C714:D714"/>
    <mergeCell ref="C715:K720"/>
    <mergeCell ref="C794:E794"/>
    <mergeCell ref="K791:M791"/>
    <mergeCell ref="K792:M792"/>
    <mergeCell ref="K793:M793"/>
    <mergeCell ref="K794:M794"/>
    <mergeCell ref="C787:E787"/>
    <mergeCell ref="C788:E788"/>
    <mergeCell ref="C789:E789"/>
    <mergeCell ref="C790:E790"/>
    <mergeCell ref="C776:E776"/>
    <mergeCell ref="C777:E777"/>
    <mergeCell ref="C778:E778"/>
    <mergeCell ref="C779:E779"/>
    <mergeCell ref="L767:M767"/>
    <mergeCell ref="G769:H769"/>
    <mergeCell ref="C774:E775"/>
    <mergeCell ref="G771:H771"/>
    <mergeCell ref="J769:K769"/>
    <mergeCell ref="L769:M769"/>
    <mergeCell ref="E1181:H1181"/>
    <mergeCell ref="C992:G992"/>
    <mergeCell ref="C993:G993"/>
    <mergeCell ref="C984:G984"/>
    <mergeCell ref="C985:G985"/>
    <mergeCell ref="C986:G986"/>
    <mergeCell ref="C987:G987"/>
    <mergeCell ref="C983:G983"/>
    <mergeCell ref="C1000:G1000"/>
    <mergeCell ref="C1179:D1179"/>
    <mergeCell ref="C1172:K1172"/>
    <mergeCell ref="C1174:K1174"/>
    <mergeCell ref="C1117:G1118"/>
    <mergeCell ref="C1091:J1091"/>
    <mergeCell ref="C1093:J1093"/>
    <mergeCell ref="C1090:J1090"/>
    <mergeCell ref="K1031:K1032"/>
    <mergeCell ref="C1038:F1038"/>
    <mergeCell ref="C1035:F1035"/>
    <mergeCell ref="C1030:F1030"/>
    <mergeCell ref="C1010:G1010"/>
    <mergeCell ref="C1007:G1007"/>
    <mergeCell ref="C1008:G1008"/>
    <mergeCell ref="C994:G994"/>
    <mergeCell ref="C950:E950"/>
    <mergeCell ref="F950:G950"/>
    <mergeCell ref="C952:E952"/>
    <mergeCell ref="F952:G952"/>
    <mergeCell ref="H952:I952"/>
    <mergeCell ref="C951:E951"/>
    <mergeCell ref="F951:G951"/>
    <mergeCell ref="H951:I951"/>
    <mergeCell ref="F968:G968"/>
    <mergeCell ref="C968:E968"/>
    <mergeCell ref="H950:I950"/>
    <mergeCell ref="C954:E954"/>
    <mergeCell ref="F954:G954"/>
    <mergeCell ref="H954:I954"/>
    <mergeCell ref="C953:E953"/>
    <mergeCell ref="F953:G953"/>
    <mergeCell ref="H955:I955"/>
    <mergeCell ref="C958:E958"/>
    <mergeCell ref="F958:G958"/>
    <mergeCell ref="H958:I958"/>
    <mergeCell ref="C957:E957"/>
    <mergeCell ref="F957:G957"/>
    <mergeCell ref="H957:I957"/>
    <mergeCell ref="H953:I953"/>
    <mergeCell ref="C627:E627"/>
    <mergeCell ref="C640:E640"/>
    <mergeCell ref="C653:E653"/>
    <mergeCell ref="C1133:G1133"/>
    <mergeCell ref="C1130:G1130"/>
    <mergeCell ref="C1132:G1132"/>
    <mergeCell ref="C1092:J1092"/>
    <mergeCell ref="C1037:F1037"/>
    <mergeCell ref="C1036:F1036"/>
    <mergeCell ref="C1039:F1039"/>
    <mergeCell ref="C1027:F1027"/>
    <mergeCell ref="C666:E666"/>
    <mergeCell ref="C679:E679"/>
    <mergeCell ref="C706:D706"/>
    <mergeCell ref="C829:E829"/>
    <mergeCell ref="C830:E830"/>
    <mergeCell ref="C831:E831"/>
    <mergeCell ref="C832:E832"/>
    <mergeCell ref="C833:E833"/>
    <mergeCell ref="C808:E808"/>
    <mergeCell ref="C848:E848"/>
    <mergeCell ref="C840:E840"/>
    <mergeCell ref="C841:E841"/>
    <mergeCell ref="C842:E842"/>
    <mergeCell ref="K614:L614"/>
    <mergeCell ref="K627:L627"/>
    <mergeCell ref="K640:L640"/>
    <mergeCell ref="K653:L653"/>
    <mergeCell ref="K600:L600"/>
    <mergeCell ref="K601:L601"/>
    <mergeCell ref="K554:L554"/>
    <mergeCell ref="K567:L567"/>
    <mergeCell ref="K593:L593"/>
    <mergeCell ref="K589:L589"/>
    <mergeCell ref="K590:L590"/>
    <mergeCell ref="K591:L591"/>
    <mergeCell ref="K592:L592"/>
    <mergeCell ref="K476:L476"/>
    <mergeCell ref="K489:L489"/>
    <mergeCell ref="K502:L502"/>
    <mergeCell ref="K515:L515"/>
    <mergeCell ref="K378:L378"/>
    <mergeCell ref="K391:L391"/>
    <mergeCell ref="C489:E489"/>
    <mergeCell ref="C87:E87"/>
    <mergeCell ref="C69:D69"/>
    <mergeCell ref="C88:E88"/>
    <mergeCell ref="C184:H184"/>
    <mergeCell ref="C190:H190"/>
    <mergeCell ref="C188:H188"/>
    <mergeCell ref="C193:H193"/>
    <mergeCell ref="K300:L300"/>
    <mergeCell ref="C300:E300"/>
    <mergeCell ref="C114:E114"/>
    <mergeCell ref="C127:E127"/>
    <mergeCell ref="C140:E140"/>
    <mergeCell ref="C174:E174"/>
    <mergeCell ref="C177:E177"/>
    <mergeCell ref="C180:E180"/>
    <mergeCell ref="D221:J221"/>
    <mergeCell ref="C231:J231"/>
    <mergeCell ref="K286:L286"/>
    <mergeCell ref="K796:M796"/>
    <mergeCell ref="K797:M797"/>
    <mergeCell ref="K798:M798"/>
    <mergeCell ref="I30:J30"/>
    <mergeCell ref="C162:E162"/>
    <mergeCell ref="C163:E163"/>
    <mergeCell ref="C164:E164"/>
    <mergeCell ref="C165:E165"/>
    <mergeCell ref="C166:E166"/>
    <mergeCell ref="I32:J32"/>
    <mergeCell ref="K779:M779"/>
    <mergeCell ref="K780:M780"/>
    <mergeCell ref="K776:M776"/>
    <mergeCell ref="K777:M777"/>
    <mergeCell ref="K778:M778"/>
    <mergeCell ref="C198:H198"/>
    <mergeCell ref="C200:H200"/>
    <mergeCell ref="C204:H204"/>
    <mergeCell ref="C202:H202"/>
    <mergeCell ref="K313:L313"/>
    <mergeCell ref="K326:L326"/>
    <mergeCell ref="K339:L339"/>
    <mergeCell ref="K352:L352"/>
    <mergeCell ref="K803:M803"/>
    <mergeCell ref="K804:M804"/>
    <mergeCell ref="K805:M805"/>
    <mergeCell ref="K806:M806"/>
    <mergeCell ref="K787:M787"/>
    <mergeCell ref="K788:M788"/>
    <mergeCell ref="K789:M789"/>
    <mergeCell ref="K790:M790"/>
    <mergeCell ref="C799:E799"/>
    <mergeCell ref="C800:E800"/>
    <mergeCell ref="C801:E801"/>
    <mergeCell ref="C802:E802"/>
    <mergeCell ref="K799:M799"/>
    <mergeCell ref="K800:M800"/>
    <mergeCell ref="K801:M801"/>
    <mergeCell ref="K802:M802"/>
    <mergeCell ref="C795:E795"/>
    <mergeCell ref="C796:E796"/>
    <mergeCell ref="C797:E797"/>
    <mergeCell ref="C798:E798"/>
    <mergeCell ref="K795:M795"/>
    <mergeCell ref="C803:E803"/>
    <mergeCell ref="C804:E804"/>
    <mergeCell ref="C805:E805"/>
    <mergeCell ref="C847:E847"/>
    <mergeCell ref="C824:E824"/>
    <mergeCell ref="C825:E825"/>
    <mergeCell ref="C826:E826"/>
    <mergeCell ref="C827:E827"/>
    <mergeCell ref="C828:E828"/>
    <mergeCell ref="K807:M807"/>
    <mergeCell ref="K808:M808"/>
    <mergeCell ref="K809:M809"/>
    <mergeCell ref="K810:M810"/>
    <mergeCell ref="C815:E815"/>
    <mergeCell ref="K815:M815"/>
    <mergeCell ref="C811:E811"/>
    <mergeCell ref="C812:E812"/>
    <mergeCell ref="C813:E813"/>
    <mergeCell ref="C814:E814"/>
    <mergeCell ref="K811:M811"/>
    <mergeCell ref="K812:M812"/>
    <mergeCell ref="K813:M813"/>
    <mergeCell ref="K814:M814"/>
    <mergeCell ref="C807:E807"/>
    <mergeCell ref="C809:E809"/>
    <mergeCell ref="C810:E810"/>
    <mergeCell ref="C838:E838"/>
    <mergeCell ref="C806:E806"/>
    <mergeCell ref="C834:E834"/>
    <mergeCell ref="C835:E835"/>
    <mergeCell ref="C836:E836"/>
    <mergeCell ref="C837:E837"/>
    <mergeCell ref="C843:E843"/>
    <mergeCell ref="C844:E844"/>
    <mergeCell ref="C845:E845"/>
    <mergeCell ref="C846:E846"/>
    <mergeCell ref="C839:E839"/>
    <mergeCell ref="C872:G872"/>
    <mergeCell ref="I872:M872"/>
    <mergeCell ref="C873:G873"/>
    <mergeCell ref="I873:M873"/>
    <mergeCell ref="C874:G874"/>
    <mergeCell ref="I874:M874"/>
    <mergeCell ref="C875:G875"/>
    <mergeCell ref="I875:M875"/>
    <mergeCell ref="C876:G876"/>
    <mergeCell ref="I876:M876"/>
    <mergeCell ref="I886:M886"/>
    <mergeCell ref="C877:G877"/>
    <mergeCell ref="I877:M877"/>
    <mergeCell ref="C878:G878"/>
    <mergeCell ref="I878:M878"/>
    <mergeCell ref="C879:G879"/>
    <mergeCell ref="I879:M879"/>
    <mergeCell ref="C880:G880"/>
    <mergeCell ref="I880:M880"/>
    <mergeCell ref="C881:G881"/>
    <mergeCell ref="I881:M881"/>
    <mergeCell ref="C246:D246"/>
    <mergeCell ref="C248:D248"/>
    <mergeCell ref="L771:M771"/>
    <mergeCell ref="C892:G892"/>
    <mergeCell ref="I892:M892"/>
    <mergeCell ref="C887:G887"/>
    <mergeCell ref="I887:M887"/>
    <mergeCell ref="C888:G888"/>
    <mergeCell ref="I888:M888"/>
    <mergeCell ref="C889:G889"/>
    <mergeCell ref="I889:M889"/>
    <mergeCell ref="C890:G890"/>
    <mergeCell ref="I890:M890"/>
    <mergeCell ref="C891:G891"/>
    <mergeCell ref="I891:M891"/>
    <mergeCell ref="C882:G882"/>
    <mergeCell ref="I882:M882"/>
    <mergeCell ref="C883:G883"/>
    <mergeCell ref="I883:M883"/>
    <mergeCell ref="C884:G884"/>
    <mergeCell ref="I884:M884"/>
    <mergeCell ref="C885:G885"/>
    <mergeCell ref="I885:M885"/>
    <mergeCell ref="C886:G886"/>
  </mergeCells>
  <phoneticPr fontId="4" type="noConversion"/>
  <conditionalFormatting sqref="M258">
    <cfRule type="expression" dxfId="146" priority="2">
      <formula>AND(ISERROR($M$258)=FALSE,SUM($H$258:$L$258)&lt;&gt;$M$258)</formula>
    </cfRule>
  </conditionalFormatting>
  <conditionalFormatting sqref="M259">
    <cfRule type="expression" dxfId="145" priority="1">
      <formula>AND(ISERROR($M$259)=FALSE,SUM($H$259:$L$259)&lt;&gt;$M$259)</formula>
    </cfRule>
  </conditionalFormatting>
  <dataValidations count="16">
    <dataValidation type="list" allowBlank="1" showInputMessage="1" showErrorMessage="1" sqref="I255 F30 F32 I202">
      <formula1>"Áno,Nie"</formula1>
    </dataValidation>
    <dataValidation type="date" allowBlank="1" showInputMessage="1" showErrorMessage="1" errorTitle="Nesprávne zadaný dátum" error="Zadajte dátum v tvare DD.MM.RRRR_x000a_" sqref="E57:E68 E70:E79">
      <formula1>43101</formula1>
      <formula2>46022</formula2>
    </dataValidation>
    <dataValidation type="list" allowBlank="1" showInputMessage="1" showErrorMessage="1" sqref="F13">
      <formula1>cislospravy</formula1>
    </dataValidation>
    <dataValidation type="textLength" operator="equal" allowBlank="1" showInputMessage="1" showErrorMessage="1" errorTitle="Nesprávne zadanie" error="Číslo projektu musí mať práve 8 znakov. Kód výzvy - 5 znakov, poradové číslo projektu - 3 znaky" sqref="F11">
      <formula1>8</formula1>
    </dataValidation>
    <dataValidation type="list" allowBlank="1" showInputMessage="1" showErrorMessage="1" sqref="K1091:M1095">
      <formula1>"1,2,3,4,5"</formula1>
    </dataValidation>
    <dataValidation type="whole" allowBlank="1" showInputMessage="1" showErrorMessage="1" sqref="M3">
      <formula1>1</formula1>
      <formula2>100</formula2>
    </dataValidation>
    <dataValidation type="list" showInputMessage="1" showErrorMessage="1" sqref="C474:D474 C469:D470 C599:D599 C580:D582 C596:D597">
      <formula1>INDIRECT(VLOOKUP(programme_outcome,outcomes_table,3,FALSE))</formula1>
    </dataValidation>
    <dataValidation type="list" allowBlank="1" showInputMessage="1" showErrorMessage="1" sqref="F474 F599 F580:F582 F469:F470 F596:F597">
      <formula1>"indicator_level"</formula1>
    </dataValidation>
    <dataValidation type="list" allowBlank="1" showInputMessage="1" showErrorMessage="1" sqref="E474 E599 E580:E582 E469:E470 E596:E597">
      <formula1>indicator_type</formula1>
    </dataValidation>
    <dataValidation type="list" allowBlank="1" showInputMessage="1" showErrorMessage="1" sqref="F15">
      <formula1>"ZP,PP1,PP2,PP3,PP4,PP5,PP6"</formula1>
    </dataValidation>
    <dataValidation type="list" allowBlank="1" showInputMessage="1" showErrorMessage="1" sqref="G825:G848">
      <formula1>risk_answers</formula1>
    </dataValidation>
    <dataValidation type="list" allowBlank="1" showInputMessage="1" showErrorMessage="1" sqref="F974:G974">
      <formula1>"0,1,2"</formula1>
    </dataValidation>
    <dataValidation type="list" allowBlank="1" showInputMessage="1" showErrorMessage="1" sqref="F969:G973">
      <formula1>cross_cutting_issues_contribution</formula1>
    </dataValidation>
    <dataValidation type="list" allowBlank="1" showInputMessage="1" showErrorMessage="1" sqref="H981:H1000 H873:H892">
      <formula1>fullfilment_status</formula1>
    </dataValidation>
    <dataValidation type="list" allowBlank="1" showInputMessage="1" showErrorMessage="1" sqref="L1119:M1138">
      <formula1>"áno,nie"</formula1>
    </dataValidation>
    <dataValidation type="list" allowBlank="1" showInputMessage="1" showErrorMessage="1" sqref="J776:J815">
      <formula1>"splnený,nesplnený,v plnení,pozastavený,iné"</formula1>
    </dataValidation>
  </dataValidations>
  <pageMargins left="0.74803149606299213" right="0.74803149606299213" top="0.98425196850393704" bottom="0.98425196850393704" header="0.51181102362204722" footer="0.51181102362204722"/>
  <pageSetup paperSize="9" scale="65" orientation="portrait" r:id="rId1"/>
  <headerFooter alignWithMargins="0">
    <oddFooter>&amp;C&amp;P/&amp;N</oddFooter>
  </headerFooter>
  <rowBreaks count="23" manualBreakCount="23">
    <brk id="34" max="16383" man="1"/>
    <brk id="50" max="16383" man="1"/>
    <brk id="82" max="16383" man="1"/>
    <brk id="157" max="16383" man="1"/>
    <brk id="191" max="16383" man="1"/>
    <brk id="250" max="16383" man="1"/>
    <brk id="279" max="16383" man="1"/>
    <brk id="470" max="16383" man="1"/>
    <brk id="581" max="16383" man="1"/>
    <brk id="595" max="16383" man="1"/>
    <brk id="693" max="16383" man="1"/>
    <brk id="762" max="16383" man="1"/>
    <brk id="817" max="16383" man="1"/>
    <brk id="869" max="16383" man="1"/>
    <brk id="894" max="16383" man="1"/>
    <brk id="945" max="16383" man="1"/>
    <brk id="962" max="16383" man="1"/>
    <brk id="975" max="16383" man="1"/>
    <brk id="1002" max="16383" man="1"/>
    <brk id="1018" max="16383" man="1"/>
    <brk id="1049" max="16383" man="1"/>
    <brk id="1112" max="16383" man="1"/>
    <brk id="1156" max="16383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>
    <pageSetUpPr fitToPage="1"/>
  </sheetPr>
  <dimension ref="A1:T322"/>
  <sheetViews>
    <sheetView showGridLines="0" showZeros="0" view="pageBreakPreview" zoomScaleNormal="85" zoomScaleSheetLayoutView="100" workbookViewId="0">
      <selection activeCell="B10" sqref="B10"/>
    </sheetView>
  </sheetViews>
  <sheetFormatPr defaultColWidth="9.109375" defaultRowHeight="13.2" outlineLevelCol="1" x14ac:dyDescent="0.25"/>
  <cols>
    <col min="1" max="1" width="7.109375" style="1" customWidth="1"/>
    <col min="2" max="2" width="10.5546875" style="1" customWidth="1"/>
    <col min="3" max="3" width="29.88671875" style="1" customWidth="1"/>
    <col min="4" max="5" width="7.33203125" style="3" customWidth="1"/>
    <col min="6" max="6" width="10.33203125" style="1" customWidth="1"/>
    <col min="7" max="8" width="10.109375" style="1" customWidth="1"/>
    <col min="9" max="10" width="9.44140625" style="1" customWidth="1"/>
    <col min="11" max="11" width="12.109375" style="4" customWidth="1"/>
    <col min="12" max="12" width="7.33203125" style="4" customWidth="1"/>
    <col min="13" max="13" width="21.6640625" style="1" customWidth="1"/>
    <col min="14" max="14" width="22.33203125" style="1" customWidth="1"/>
    <col min="15" max="15" width="10.33203125" style="1" customWidth="1"/>
    <col min="16" max="16" width="15.88671875" customWidth="1"/>
    <col min="18" max="18" width="15.88671875" customWidth="1" outlineLevel="1"/>
    <col min="19" max="19" width="40" customWidth="1" outlineLevel="1"/>
    <col min="20" max="20" width="41" customWidth="1"/>
    <col min="21" max="16384" width="9.109375" style="1"/>
  </cols>
  <sheetData>
    <row r="1" spans="1:20" ht="22.5" customHeight="1" x14ac:dyDescent="0.25">
      <c r="A1" s="2" t="s">
        <v>143</v>
      </c>
      <c r="P1" s="1"/>
      <c r="Q1" s="1"/>
      <c r="R1" s="1"/>
      <c r="S1" s="1"/>
      <c r="T1" s="1"/>
    </row>
    <row r="2" spans="1:20" ht="30" customHeight="1" x14ac:dyDescent="0.25">
      <c r="A2" s="239" t="s">
        <v>112</v>
      </c>
      <c r="B2" s="239"/>
      <c r="C2" s="652">
        <f>applicant_name</f>
        <v>0</v>
      </c>
      <c r="D2" s="480">
        <f>applicant_name</f>
        <v>0</v>
      </c>
      <c r="E2" s="480"/>
      <c r="F2" s="480"/>
      <c r="G2" s="462"/>
      <c r="H2" s="4"/>
      <c r="M2" s="298" t="s">
        <v>117</v>
      </c>
      <c r="N2" s="299"/>
      <c r="P2" s="1"/>
      <c r="Q2" s="1"/>
      <c r="R2" s="1"/>
      <c r="S2" s="1"/>
      <c r="T2" s="1"/>
    </row>
    <row r="3" spans="1:20" ht="30" customHeight="1" x14ac:dyDescent="0.25">
      <c r="A3" s="239" t="s">
        <v>113</v>
      </c>
      <c r="B3" s="239"/>
      <c r="C3" s="652">
        <f>project_title</f>
        <v>0</v>
      </c>
      <c r="D3" s="480"/>
      <c r="E3" s="480"/>
      <c r="F3" s="480"/>
      <c r="G3" s="462"/>
      <c r="H3" s="4"/>
      <c r="M3" s="241" t="s">
        <v>166</v>
      </c>
      <c r="N3" s="241" t="s">
        <v>166</v>
      </c>
      <c r="P3" s="1"/>
      <c r="Q3" s="1"/>
      <c r="R3" s="1"/>
      <c r="S3" s="1"/>
      <c r="T3" s="1"/>
    </row>
    <row r="4" spans="1:20" ht="30" customHeight="1" x14ac:dyDescent="0.25">
      <c r="A4" s="239" t="s">
        <v>114</v>
      </c>
      <c r="B4" s="239"/>
      <c r="C4" s="295">
        <f>project_code</f>
        <v>0</v>
      </c>
      <c r="D4" s="296"/>
      <c r="E4" s="296"/>
      <c r="F4" s="296"/>
      <c r="G4" s="297"/>
      <c r="H4" s="4"/>
      <c r="M4" s="300">
        <f>reporting_period_starts</f>
        <v>0</v>
      </c>
      <c r="N4" s="300">
        <f>reporting_period_ends</f>
        <v>0</v>
      </c>
      <c r="P4" s="1"/>
      <c r="Q4" s="1"/>
      <c r="R4" s="1"/>
      <c r="S4" s="1"/>
      <c r="T4" s="1"/>
    </row>
    <row r="5" spans="1:20" ht="30" customHeight="1" x14ac:dyDescent="0.25">
      <c r="A5" s="239" t="s">
        <v>115</v>
      </c>
      <c r="B5" s="240"/>
      <c r="C5" s="366">
        <f>report_number</f>
        <v>0</v>
      </c>
      <c r="D5" s="296"/>
      <c r="E5" s="296"/>
      <c r="F5" s="296"/>
      <c r="G5" s="297"/>
      <c r="H5" s="4"/>
      <c r="I5" s="4"/>
      <c r="J5" s="4"/>
      <c r="P5" s="1"/>
      <c r="Q5" s="1"/>
      <c r="R5" s="1"/>
      <c r="S5" s="1"/>
      <c r="T5" s="1"/>
    </row>
    <row r="6" spans="1:20" ht="23.25" customHeight="1" thickBot="1" x14ac:dyDescent="0.3">
      <c r="D6" s="242"/>
      <c r="E6" s="242"/>
      <c r="F6" s="26"/>
      <c r="G6" s="26"/>
      <c r="P6" s="1"/>
      <c r="Q6" s="1"/>
      <c r="R6" s="1"/>
      <c r="S6" s="1"/>
      <c r="T6" s="1"/>
    </row>
    <row r="7" spans="1:20" ht="23.25" customHeight="1" thickBot="1" x14ac:dyDescent="0.3">
      <c r="C7" s="243"/>
      <c r="D7" s="242"/>
      <c r="E7" s="242"/>
      <c r="F7" s="26"/>
      <c r="G7" s="26"/>
      <c r="J7" s="153" t="s">
        <v>419</v>
      </c>
      <c r="K7" s="286">
        <f>SUM(claimed_amount_column)</f>
        <v>0</v>
      </c>
      <c r="L7" s="154"/>
      <c r="M7" s="154"/>
      <c r="N7" s="154"/>
      <c r="O7" s="154"/>
      <c r="P7" s="154"/>
      <c r="Q7" s="154"/>
      <c r="R7" s="154"/>
      <c r="S7" s="154"/>
      <c r="T7" s="1"/>
    </row>
    <row r="8" spans="1:20" ht="17.25" customHeight="1" x14ac:dyDescent="0.25">
      <c r="L8" s="25"/>
      <c r="M8" s="155"/>
      <c r="N8" s="155"/>
      <c r="O8" s="155"/>
      <c r="P8" s="155"/>
      <c r="Q8" s="155"/>
      <c r="R8" s="155"/>
      <c r="S8" s="155"/>
      <c r="T8" s="1"/>
    </row>
    <row r="9" spans="1:20" s="5" customFormat="1" ht="47.25" customHeight="1" x14ac:dyDescent="0.25">
      <c r="A9" s="246" t="s">
        <v>116</v>
      </c>
      <c r="B9" s="247" t="s">
        <v>418</v>
      </c>
      <c r="C9" s="250" t="s">
        <v>360</v>
      </c>
      <c r="D9" s="247" t="s">
        <v>168</v>
      </c>
      <c r="E9" s="247" t="s">
        <v>169</v>
      </c>
      <c r="F9" s="247" t="s">
        <v>120</v>
      </c>
      <c r="G9" s="248" t="s">
        <v>123</v>
      </c>
      <c r="H9" s="248" t="s">
        <v>124</v>
      </c>
      <c r="I9" s="248" t="s">
        <v>413</v>
      </c>
      <c r="J9" s="248" t="s">
        <v>414</v>
      </c>
      <c r="K9" s="249" t="s">
        <v>475</v>
      </c>
      <c r="L9" s="249" t="s">
        <v>420</v>
      </c>
      <c r="M9" s="248" t="s">
        <v>121</v>
      </c>
      <c r="N9" s="248" t="s">
        <v>416</v>
      </c>
      <c r="O9" s="248" t="s">
        <v>417</v>
      </c>
      <c r="P9" s="248" t="s">
        <v>122</v>
      </c>
      <c r="Q9" s="248" t="s">
        <v>165</v>
      </c>
      <c r="R9" s="248" t="s">
        <v>668</v>
      </c>
      <c r="S9" s="248" t="s">
        <v>678</v>
      </c>
    </row>
    <row r="10" spans="1:20" s="307" customFormat="1" ht="10.199999999999999" x14ac:dyDescent="0.2">
      <c r="A10" s="290">
        <f>ROW(B10)-9</f>
        <v>1</v>
      </c>
      <c r="B10" s="283"/>
      <c r="C10" s="282"/>
      <c r="D10" s="284"/>
      <c r="E10" s="284"/>
      <c r="F10" s="283"/>
      <c r="G10" s="289"/>
      <c r="H10" s="289"/>
      <c r="I10" s="283"/>
      <c r="J10" s="283"/>
      <c r="K10" s="291">
        <f>tab_invoices[[#This Row],[Množstvo]]*tab_invoices[[#This Row],[Náklady na jednotku]]</f>
        <v>0</v>
      </c>
      <c r="L10" s="284"/>
      <c r="M10" s="292" t="str">
        <f>IF(ISBLANK(tab_invoices[[#This Row],['#]]),"",VLOOKUP(tab_invoices[[#This Row],['#]],tab_budget[['#]:[Rozpočtová položka]],2,FALSE))</f>
        <v/>
      </c>
      <c r="N10" s="292" t="str">
        <f>IF(ISBLANK(tab_invoices[[#This Row],['#]]),"",VLOOKUP(tab_invoices[[#This Row],['#]],tab_budget[['#]:[Typ výdavku]],7,FALSE))</f>
        <v/>
      </c>
      <c r="O10" s="292" t="str">
        <f>IF(ISBLANK(tab_invoices[[#This Row],['#]]),"",VLOOKUP(tab_invoices[[#This Row],['#]],tab_budget[['#]:[Rozpočtová položka]],8,FALSE))</f>
        <v/>
      </c>
      <c r="P10" s="292" t="str">
        <f>IF(ISBLANK(tab_invoices[[#This Row],['#]]),"",VLOOKUP(tab_invoices[[#This Row],['#]],tab_budget[['#]:[Rozpočtová kapitola]],9,FALSE))</f>
        <v/>
      </c>
      <c r="Q10" s="292" t="str">
        <f>IF(ISBLANK(tab_invoices[[#This Row],['#]]),"",VLOOKUP(tab_invoices[[#This Row],['#]],tab_budget[['#]:[Realizuje]],10,FALSE))</f>
        <v/>
      </c>
      <c r="R10" s="292"/>
      <c r="S10" s="292"/>
    </row>
    <row r="11" spans="1:20" s="307" customFormat="1" ht="10.199999999999999" x14ac:dyDescent="0.2">
      <c r="A11" s="451">
        <f t="shared" ref="A11:A42" si="0">ROW(B11)-9</f>
        <v>2</v>
      </c>
      <c r="B11" s="452"/>
      <c r="C11" s="453"/>
      <c r="D11" s="454"/>
      <c r="E11" s="454"/>
      <c r="F11" s="452"/>
      <c r="G11" s="455"/>
      <c r="H11" s="455"/>
      <c r="I11" s="452"/>
      <c r="J11" s="452"/>
      <c r="K11" s="291">
        <f>tab_invoices[[#This Row],[Množstvo]]*tab_invoices[[#This Row],[Náklady na jednotku]]</f>
        <v>0</v>
      </c>
      <c r="L11" s="454"/>
      <c r="M11" s="292" t="str">
        <f>IF(ISBLANK(tab_invoices[[#This Row],['#]]),"",VLOOKUP(tab_invoices[[#This Row],['#]],tab_budget[['#]:[Rozpočtová položka]],2,FALSE))</f>
        <v/>
      </c>
      <c r="N11" s="457" t="str">
        <f>IF(ISBLANK(tab_invoices[[#This Row],['#]]),"",VLOOKUP(tab_invoices[[#This Row],['#]],tab_budget[['#]:[Typ výdavku]],7,FALSE))</f>
        <v/>
      </c>
      <c r="O11" s="457" t="str">
        <f>IF(ISBLANK(tab_invoices[[#This Row],['#]]),"",VLOOKUP(tab_invoices[[#This Row],['#]],tab_budget[['#]:[Rozpočtová položka]],8,FALSE))</f>
        <v/>
      </c>
      <c r="P11" s="457" t="str">
        <f>IF(ISBLANK(tab_invoices[[#This Row],['#]]),"",VLOOKUP(tab_invoices[[#This Row],['#]],tab_budget[['#]:[Rozpočtová kapitola]],9,FALSE))</f>
        <v/>
      </c>
      <c r="Q11" s="457" t="str">
        <f>IF(ISBLANK(tab_invoices[[#This Row],['#]]),"",VLOOKUP(tab_invoices[[#This Row],['#]],tab_budget[['#]:[Realizuje]],10,FALSE))</f>
        <v/>
      </c>
      <c r="R11" s="457"/>
      <c r="S11" s="457"/>
    </row>
    <row r="12" spans="1:20" s="307" customFormat="1" ht="10.199999999999999" x14ac:dyDescent="0.2">
      <c r="A12" s="451">
        <f t="shared" si="0"/>
        <v>3</v>
      </c>
      <c r="B12" s="452"/>
      <c r="C12" s="453"/>
      <c r="D12" s="454"/>
      <c r="E12" s="454"/>
      <c r="F12" s="452"/>
      <c r="G12" s="455"/>
      <c r="H12" s="455"/>
      <c r="I12" s="452"/>
      <c r="J12" s="452"/>
      <c r="K12" s="291">
        <f>tab_invoices[[#This Row],[Množstvo]]*tab_invoices[[#This Row],[Náklady na jednotku]]</f>
        <v>0</v>
      </c>
      <c r="L12" s="454"/>
      <c r="M12" s="292" t="str">
        <f>IF(ISBLANK(tab_invoices[[#This Row],['#]]),"",VLOOKUP(tab_invoices[[#This Row],['#]],tab_budget[['#]:[Rozpočtová položka]],2,FALSE))</f>
        <v/>
      </c>
      <c r="N12" s="457" t="str">
        <f>IF(ISBLANK(tab_invoices[[#This Row],['#]]),"",VLOOKUP(tab_invoices[[#This Row],['#]],tab_budget[['#]:[Typ výdavku]],7,FALSE))</f>
        <v/>
      </c>
      <c r="O12" s="457" t="str">
        <f>IF(ISBLANK(tab_invoices[[#This Row],['#]]),"",VLOOKUP(tab_invoices[[#This Row],['#]],tab_budget[['#]:[Rozpočtová položka]],8,FALSE))</f>
        <v/>
      </c>
      <c r="P12" s="457" t="str">
        <f>IF(ISBLANK(tab_invoices[[#This Row],['#]]),"",VLOOKUP(tab_invoices[[#This Row],['#]],tab_budget[['#]:[Rozpočtová kapitola]],9,FALSE))</f>
        <v/>
      </c>
      <c r="Q12" s="457" t="str">
        <f>IF(ISBLANK(tab_invoices[[#This Row],['#]]),"",VLOOKUP(tab_invoices[[#This Row],['#]],tab_budget[['#]:[Realizuje]],10,FALSE))</f>
        <v/>
      </c>
      <c r="R12" s="457"/>
      <c r="S12" s="457"/>
    </row>
    <row r="13" spans="1:20" s="307" customFormat="1" ht="10.199999999999999" x14ac:dyDescent="0.2">
      <c r="A13" s="451">
        <f t="shared" si="0"/>
        <v>4</v>
      </c>
      <c r="B13" s="452"/>
      <c r="C13" s="453"/>
      <c r="D13" s="454"/>
      <c r="E13" s="454"/>
      <c r="F13" s="452"/>
      <c r="G13" s="455"/>
      <c r="H13" s="455"/>
      <c r="I13" s="452"/>
      <c r="J13" s="452"/>
      <c r="K13" s="291">
        <f>tab_invoices[[#This Row],[Množstvo]]*tab_invoices[[#This Row],[Náklady na jednotku]]</f>
        <v>0</v>
      </c>
      <c r="L13" s="454"/>
      <c r="M13" s="292" t="str">
        <f>IF(ISBLANK(tab_invoices[[#This Row],['#]]),"",VLOOKUP(tab_invoices[[#This Row],['#]],tab_budget[['#]:[Rozpočtová položka]],2,FALSE))</f>
        <v/>
      </c>
      <c r="N13" s="457" t="str">
        <f>IF(ISBLANK(tab_invoices[[#This Row],['#]]),"",VLOOKUP(tab_invoices[[#This Row],['#]],tab_budget[['#]:[Typ výdavku]],7,FALSE))</f>
        <v/>
      </c>
      <c r="O13" s="457" t="str">
        <f>IF(ISBLANK(tab_invoices[[#This Row],['#]]),"",VLOOKUP(tab_invoices[[#This Row],['#]],tab_budget[['#]:[Rozpočtová položka]],8,FALSE))</f>
        <v/>
      </c>
      <c r="P13" s="457" t="str">
        <f>IF(ISBLANK(tab_invoices[[#This Row],['#]]),"",VLOOKUP(tab_invoices[[#This Row],['#]],tab_budget[['#]:[Rozpočtová kapitola]],9,FALSE))</f>
        <v/>
      </c>
      <c r="Q13" s="457" t="str">
        <f>IF(ISBLANK(tab_invoices[[#This Row],['#]]),"",VLOOKUP(tab_invoices[[#This Row],['#]],tab_budget[['#]:[Realizuje]],10,FALSE))</f>
        <v/>
      </c>
      <c r="R13" s="457"/>
      <c r="S13" s="457"/>
    </row>
    <row r="14" spans="1:20" s="307" customFormat="1" ht="10.199999999999999" x14ac:dyDescent="0.2">
      <c r="A14" s="451">
        <f t="shared" si="0"/>
        <v>5</v>
      </c>
      <c r="B14" s="452"/>
      <c r="C14" s="453"/>
      <c r="D14" s="454"/>
      <c r="E14" s="454"/>
      <c r="F14" s="452"/>
      <c r="G14" s="455"/>
      <c r="H14" s="455"/>
      <c r="I14" s="452"/>
      <c r="J14" s="452"/>
      <c r="K14" s="291">
        <f>tab_invoices[[#This Row],[Množstvo]]*tab_invoices[[#This Row],[Náklady na jednotku]]</f>
        <v>0</v>
      </c>
      <c r="L14" s="454"/>
      <c r="M14" s="292" t="str">
        <f>IF(ISBLANK(tab_invoices[[#This Row],['#]]),"",VLOOKUP(tab_invoices[[#This Row],['#]],tab_budget[['#]:[Rozpočtová položka]],2,FALSE))</f>
        <v/>
      </c>
      <c r="N14" s="457" t="str">
        <f>IF(ISBLANK(tab_invoices[[#This Row],['#]]),"",VLOOKUP(tab_invoices[[#This Row],['#]],tab_budget[['#]:[Typ výdavku]],7,FALSE))</f>
        <v/>
      </c>
      <c r="O14" s="457" t="str">
        <f>IF(ISBLANK(tab_invoices[[#This Row],['#]]),"",VLOOKUP(tab_invoices[[#This Row],['#]],tab_budget[['#]:[Rozpočtová položka]],8,FALSE))</f>
        <v/>
      </c>
      <c r="P14" s="457" t="str">
        <f>IF(ISBLANK(tab_invoices[[#This Row],['#]]),"",VLOOKUP(tab_invoices[[#This Row],['#]],tab_budget[['#]:[Rozpočtová kapitola]],9,FALSE))</f>
        <v/>
      </c>
      <c r="Q14" s="457" t="str">
        <f>IF(ISBLANK(tab_invoices[[#This Row],['#]]),"",VLOOKUP(tab_invoices[[#This Row],['#]],tab_budget[['#]:[Realizuje]],10,FALSE))</f>
        <v/>
      </c>
      <c r="R14" s="457"/>
      <c r="S14" s="457"/>
    </row>
    <row r="15" spans="1:20" s="307" customFormat="1" ht="10.199999999999999" x14ac:dyDescent="0.2">
      <c r="A15" s="451">
        <f t="shared" si="0"/>
        <v>6</v>
      </c>
      <c r="B15" s="452"/>
      <c r="C15" s="453"/>
      <c r="D15" s="454"/>
      <c r="E15" s="454"/>
      <c r="F15" s="452"/>
      <c r="G15" s="455"/>
      <c r="H15" s="455"/>
      <c r="I15" s="452"/>
      <c r="J15" s="452"/>
      <c r="K15" s="291">
        <f>tab_invoices[[#This Row],[Množstvo]]*tab_invoices[[#This Row],[Náklady na jednotku]]</f>
        <v>0</v>
      </c>
      <c r="L15" s="454"/>
      <c r="M15" s="292" t="str">
        <f>IF(ISBLANK(tab_invoices[[#This Row],['#]]),"",VLOOKUP(tab_invoices[[#This Row],['#]],tab_budget[['#]:[Rozpočtová položka]],2,FALSE))</f>
        <v/>
      </c>
      <c r="N15" s="457" t="str">
        <f>IF(ISBLANK(tab_invoices[[#This Row],['#]]),"",VLOOKUP(tab_invoices[[#This Row],['#]],tab_budget[['#]:[Typ výdavku]],7,FALSE))</f>
        <v/>
      </c>
      <c r="O15" s="457" t="str">
        <f>IF(ISBLANK(tab_invoices[[#This Row],['#]]),"",VLOOKUP(tab_invoices[[#This Row],['#]],tab_budget[['#]:[Rozpočtová položka]],8,FALSE))</f>
        <v/>
      </c>
      <c r="P15" s="457" t="str">
        <f>IF(ISBLANK(tab_invoices[[#This Row],['#]]),"",VLOOKUP(tab_invoices[[#This Row],['#]],tab_budget[['#]:[Rozpočtová kapitola]],9,FALSE))</f>
        <v/>
      </c>
      <c r="Q15" s="457" t="str">
        <f>IF(ISBLANK(tab_invoices[[#This Row],['#]]),"",VLOOKUP(tab_invoices[[#This Row],['#]],tab_budget[['#]:[Realizuje]],10,FALSE))</f>
        <v/>
      </c>
      <c r="R15" s="457"/>
      <c r="S15" s="457"/>
    </row>
    <row r="16" spans="1:20" s="307" customFormat="1" ht="10.199999999999999" x14ac:dyDescent="0.2">
      <c r="A16" s="451">
        <f t="shared" si="0"/>
        <v>7</v>
      </c>
      <c r="B16" s="452"/>
      <c r="C16" s="453"/>
      <c r="D16" s="454"/>
      <c r="E16" s="454"/>
      <c r="F16" s="452"/>
      <c r="G16" s="455"/>
      <c r="H16" s="455"/>
      <c r="I16" s="452"/>
      <c r="J16" s="452"/>
      <c r="K16" s="291">
        <f>tab_invoices[[#This Row],[Množstvo]]*tab_invoices[[#This Row],[Náklady na jednotku]]</f>
        <v>0</v>
      </c>
      <c r="L16" s="454"/>
      <c r="M16" s="292" t="str">
        <f>IF(ISBLANK(tab_invoices[[#This Row],['#]]),"",VLOOKUP(tab_invoices[[#This Row],['#]],tab_budget[['#]:[Rozpočtová položka]],2,FALSE))</f>
        <v/>
      </c>
      <c r="N16" s="457" t="str">
        <f>IF(ISBLANK(tab_invoices[[#This Row],['#]]),"",VLOOKUP(tab_invoices[[#This Row],['#]],tab_budget[['#]:[Typ výdavku]],7,FALSE))</f>
        <v/>
      </c>
      <c r="O16" s="457" t="str">
        <f>IF(ISBLANK(tab_invoices[[#This Row],['#]]),"",VLOOKUP(tab_invoices[[#This Row],['#]],tab_budget[['#]:[Rozpočtová položka]],8,FALSE))</f>
        <v/>
      </c>
      <c r="P16" s="457" t="str">
        <f>IF(ISBLANK(tab_invoices[[#This Row],['#]]),"",VLOOKUP(tab_invoices[[#This Row],['#]],tab_budget[['#]:[Rozpočtová kapitola]],9,FALSE))</f>
        <v/>
      </c>
      <c r="Q16" s="457" t="str">
        <f>IF(ISBLANK(tab_invoices[[#This Row],['#]]),"",VLOOKUP(tab_invoices[[#This Row],['#]],tab_budget[['#]:[Realizuje]],10,FALSE))</f>
        <v/>
      </c>
      <c r="R16" s="457"/>
      <c r="S16" s="457"/>
    </row>
    <row r="17" spans="1:19" s="307" customFormat="1" ht="10.199999999999999" x14ac:dyDescent="0.2">
      <c r="A17" s="451">
        <f t="shared" si="0"/>
        <v>8</v>
      </c>
      <c r="B17" s="452"/>
      <c r="C17" s="453"/>
      <c r="D17" s="454"/>
      <c r="E17" s="454"/>
      <c r="F17" s="452"/>
      <c r="G17" s="455"/>
      <c r="H17" s="455"/>
      <c r="I17" s="452"/>
      <c r="J17" s="452"/>
      <c r="K17" s="291">
        <f>tab_invoices[[#This Row],[Množstvo]]*tab_invoices[[#This Row],[Náklady na jednotku]]</f>
        <v>0</v>
      </c>
      <c r="L17" s="454"/>
      <c r="M17" s="292" t="str">
        <f>IF(ISBLANK(tab_invoices[[#This Row],['#]]),"",VLOOKUP(tab_invoices[[#This Row],['#]],tab_budget[['#]:[Rozpočtová položka]],2,FALSE))</f>
        <v/>
      </c>
      <c r="N17" s="457" t="str">
        <f>IF(ISBLANK(tab_invoices[[#This Row],['#]]),"",VLOOKUP(tab_invoices[[#This Row],['#]],tab_budget[['#]:[Typ výdavku]],7,FALSE))</f>
        <v/>
      </c>
      <c r="O17" s="457" t="str">
        <f>IF(ISBLANK(tab_invoices[[#This Row],['#]]),"",VLOOKUP(tab_invoices[[#This Row],['#]],tab_budget[['#]:[Rozpočtová položka]],8,FALSE))</f>
        <v/>
      </c>
      <c r="P17" s="457" t="str">
        <f>IF(ISBLANK(tab_invoices[[#This Row],['#]]),"",VLOOKUP(tab_invoices[[#This Row],['#]],tab_budget[['#]:[Rozpočtová kapitola]],9,FALSE))</f>
        <v/>
      </c>
      <c r="Q17" s="457" t="str">
        <f>IF(ISBLANK(tab_invoices[[#This Row],['#]]),"",VLOOKUP(tab_invoices[[#This Row],['#]],tab_budget[['#]:[Realizuje]],10,FALSE))</f>
        <v/>
      </c>
      <c r="R17" s="457"/>
      <c r="S17" s="457"/>
    </row>
    <row r="18" spans="1:19" s="307" customFormat="1" ht="10.199999999999999" x14ac:dyDescent="0.2">
      <c r="A18" s="451">
        <f t="shared" si="0"/>
        <v>9</v>
      </c>
      <c r="B18" s="452"/>
      <c r="C18" s="453"/>
      <c r="D18" s="454"/>
      <c r="E18" s="454"/>
      <c r="F18" s="452"/>
      <c r="G18" s="455"/>
      <c r="H18" s="455"/>
      <c r="I18" s="452"/>
      <c r="J18" s="452"/>
      <c r="K18" s="291">
        <f>tab_invoices[[#This Row],[Množstvo]]*tab_invoices[[#This Row],[Náklady na jednotku]]</f>
        <v>0</v>
      </c>
      <c r="L18" s="454"/>
      <c r="M18" s="292" t="str">
        <f>IF(ISBLANK(tab_invoices[[#This Row],['#]]),"",VLOOKUP(tab_invoices[[#This Row],['#]],tab_budget[['#]:[Rozpočtová položka]],2,FALSE))</f>
        <v/>
      </c>
      <c r="N18" s="457" t="str">
        <f>IF(ISBLANK(tab_invoices[[#This Row],['#]]),"",VLOOKUP(tab_invoices[[#This Row],['#]],tab_budget[['#]:[Typ výdavku]],7,FALSE))</f>
        <v/>
      </c>
      <c r="O18" s="457" t="str">
        <f>IF(ISBLANK(tab_invoices[[#This Row],['#]]),"",VLOOKUP(tab_invoices[[#This Row],['#]],tab_budget[['#]:[Rozpočtová položka]],8,FALSE))</f>
        <v/>
      </c>
      <c r="P18" s="457" t="str">
        <f>IF(ISBLANK(tab_invoices[[#This Row],['#]]),"",VLOOKUP(tab_invoices[[#This Row],['#]],tab_budget[['#]:[Rozpočtová kapitola]],9,FALSE))</f>
        <v/>
      </c>
      <c r="Q18" s="457" t="str">
        <f>IF(ISBLANK(tab_invoices[[#This Row],['#]]),"",VLOOKUP(tab_invoices[[#This Row],['#]],tab_budget[['#]:[Realizuje]],10,FALSE))</f>
        <v/>
      </c>
      <c r="R18" s="457"/>
      <c r="S18" s="457"/>
    </row>
    <row r="19" spans="1:19" s="307" customFormat="1" ht="10.199999999999999" x14ac:dyDescent="0.2">
      <c r="A19" s="451">
        <f t="shared" si="0"/>
        <v>10</v>
      </c>
      <c r="B19" s="452"/>
      <c r="C19" s="453"/>
      <c r="D19" s="454"/>
      <c r="E19" s="454"/>
      <c r="F19" s="452"/>
      <c r="G19" s="455"/>
      <c r="H19" s="455"/>
      <c r="I19" s="452"/>
      <c r="J19" s="452"/>
      <c r="K19" s="291">
        <f>tab_invoices[[#This Row],[Množstvo]]*tab_invoices[[#This Row],[Náklady na jednotku]]</f>
        <v>0</v>
      </c>
      <c r="L19" s="454"/>
      <c r="M19" s="292" t="str">
        <f>IF(ISBLANK(tab_invoices[[#This Row],['#]]),"",VLOOKUP(tab_invoices[[#This Row],['#]],tab_budget[['#]:[Rozpočtová položka]],2,FALSE))</f>
        <v/>
      </c>
      <c r="N19" s="457" t="str">
        <f>IF(ISBLANK(tab_invoices[[#This Row],['#]]),"",VLOOKUP(tab_invoices[[#This Row],['#]],tab_budget[['#]:[Typ výdavku]],7,FALSE))</f>
        <v/>
      </c>
      <c r="O19" s="457" t="str">
        <f>IF(ISBLANK(tab_invoices[[#This Row],['#]]),"",VLOOKUP(tab_invoices[[#This Row],['#]],tab_budget[['#]:[Rozpočtová položka]],8,FALSE))</f>
        <v/>
      </c>
      <c r="P19" s="457" t="str">
        <f>IF(ISBLANK(tab_invoices[[#This Row],['#]]),"",VLOOKUP(tab_invoices[[#This Row],['#]],tab_budget[['#]:[Rozpočtová kapitola]],9,FALSE))</f>
        <v/>
      </c>
      <c r="Q19" s="457" t="str">
        <f>IF(ISBLANK(tab_invoices[[#This Row],['#]]),"",VLOOKUP(tab_invoices[[#This Row],['#]],tab_budget[['#]:[Realizuje]],10,FALSE))</f>
        <v/>
      </c>
      <c r="R19" s="457"/>
      <c r="S19" s="457"/>
    </row>
    <row r="20" spans="1:19" s="307" customFormat="1" ht="10.199999999999999" x14ac:dyDescent="0.2">
      <c r="A20" s="451">
        <f t="shared" si="0"/>
        <v>11</v>
      </c>
      <c r="B20" s="452"/>
      <c r="C20" s="453"/>
      <c r="D20" s="454"/>
      <c r="E20" s="454"/>
      <c r="F20" s="452"/>
      <c r="G20" s="455"/>
      <c r="H20" s="455"/>
      <c r="I20" s="452"/>
      <c r="J20" s="452"/>
      <c r="K20" s="291">
        <f>tab_invoices[[#This Row],[Množstvo]]*tab_invoices[[#This Row],[Náklady na jednotku]]</f>
        <v>0</v>
      </c>
      <c r="L20" s="454"/>
      <c r="M20" s="292" t="str">
        <f>IF(ISBLANK(tab_invoices[[#This Row],['#]]),"",VLOOKUP(tab_invoices[[#This Row],['#]],tab_budget[['#]:[Rozpočtová položka]],2,FALSE))</f>
        <v/>
      </c>
      <c r="N20" s="457" t="str">
        <f>IF(ISBLANK(tab_invoices[[#This Row],['#]]),"",VLOOKUP(tab_invoices[[#This Row],['#]],tab_budget[['#]:[Typ výdavku]],7,FALSE))</f>
        <v/>
      </c>
      <c r="O20" s="457" t="str">
        <f>IF(ISBLANK(tab_invoices[[#This Row],['#]]),"",VLOOKUP(tab_invoices[[#This Row],['#]],tab_budget[['#]:[Rozpočtová položka]],8,FALSE))</f>
        <v/>
      </c>
      <c r="P20" s="457" t="str">
        <f>IF(ISBLANK(tab_invoices[[#This Row],['#]]),"",VLOOKUP(tab_invoices[[#This Row],['#]],tab_budget[['#]:[Rozpočtová kapitola]],9,FALSE))</f>
        <v/>
      </c>
      <c r="Q20" s="457" t="str">
        <f>IF(ISBLANK(tab_invoices[[#This Row],['#]]),"",VLOOKUP(tab_invoices[[#This Row],['#]],tab_budget[['#]:[Realizuje]],10,FALSE))</f>
        <v/>
      </c>
      <c r="R20" s="457"/>
      <c r="S20" s="457"/>
    </row>
    <row r="21" spans="1:19" s="307" customFormat="1" ht="10.199999999999999" x14ac:dyDescent="0.2">
      <c r="A21" s="451">
        <f t="shared" si="0"/>
        <v>12</v>
      </c>
      <c r="B21" s="452"/>
      <c r="C21" s="453"/>
      <c r="D21" s="454"/>
      <c r="E21" s="454"/>
      <c r="F21" s="452"/>
      <c r="G21" s="455"/>
      <c r="H21" s="455"/>
      <c r="I21" s="452"/>
      <c r="J21" s="452"/>
      <c r="K21" s="291">
        <f>tab_invoices[[#This Row],[Množstvo]]*tab_invoices[[#This Row],[Náklady na jednotku]]</f>
        <v>0</v>
      </c>
      <c r="L21" s="454"/>
      <c r="M21" s="292" t="str">
        <f>IF(ISBLANK(tab_invoices[[#This Row],['#]]),"",VLOOKUP(tab_invoices[[#This Row],['#]],tab_budget[['#]:[Rozpočtová položka]],2,FALSE))</f>
        <v/>
      </c>
      <c r="N21" s="457" t="str">
        <f>IF(ISBLANK(tab_invoices[[#This Row],['#]]),"",VLOOKUP(tab_invoices[[#This Row],['#]],tab_budget[['#]:[Typ výdavku]],7,FALSE))</f>
        <v/>
      </c>
      <c r="O21" s="457" t="str">
        <f>IF(ISBLANK(tab_invoices[[#This Row],['#]]),"",VLOOKUP(tab_invoices[[#This Row],['#]],tab_budget[['#]:[Rozpočtová položka]],8,FALSE))</f>
        <v/>
      </c>
      <c r="P21" s="457" t="str">
        <f>IF(ISBLANK(tab_invoices[[#This Row],['#]]),"",VLOOKUP(tab_invoices[[#This Row],['#]],tab_budget[['#]:[Rozpočtová kapitola]],9,FALSE))</f>
        <v/>
      </c>
      <c r="Q21" s="457" t="str">
        <f>IF(ISBLANK(tab_invoices[[#This Row],['#]]),"",VLOOKUP(tab_invoices[[#This Row],['#]],tab_budget[['#]:[Realizuje]],10,FALSE))</f>
        <v/>
      </c>
      <c r="R21" s="457"/>
      <c r="S21" s="457"/>
    </row>
    <row r="22" spans="1:19" s="307" customFormat="1" ht="10.199999999999999" x14ac:dyDescent="0.2">
      <c r="A22" s="451">
        <f t="shared" si="0"/>
        <v>13</v>
      </c>
      <c r="B22" s="452"/>
      <c r="C22" s="453"/>
      <c r="D22" s="454"/>
      <c r="E22" s="454"/>
      <c r="F22" s="452"/>
      <c r="G22" s="455"/>
      <c r="H22" s="455"/>
      <c r="I22" s="452"/>
      <c r="J22" s="452"/>
      <c r="K22" s="291">
        <f>tab_invoices[[#This Row],[Množstvo]]*tab_invoices[[#This Row],[Náklady na jednotku]]</f>
        <v>0</v>
      </c>
      <c r="L22" s="454"/>
      <c r="M22" s="292" t="str">
        <f>IF(ISBLANK(tab_invoices[[#This Row],['#]]),"",VLOOKUP(tab_invoices[[#This Row],['#]],tab_budget[['#]:[Rozpočtová položka]],2,FALSE))</f>
        <v/>
      </c>
      <c r="N22" s="457" t="str">
        <f>IF(ISBLANK(tab_invoices[[#This Row],['#]]),"",VLOOKUP(tab_invoices[[#This Row],['#]],tab_budget[['#]:[Typ výdavku]],7,FALSE))</f>
        <v/>
      </c>
      <c r="O22" s="457" t="str">
        <f>IF(ISBLANK(tab_invoices[[#This Row],['#]]),"",VLOOKUP(tab_invoices[[#This Row],['#]],tab_budget[['#]:[Rozpočtová položka]],8,FALSE))</f>
        <v/>
      </c>
      <c r="P22" s="457" t="str">
        <f>IF(ISBLANK(tab_invoices[[#This Row],['#]]),"",VLOOKUP(tab_invoices[[#This Row],['#]],tab_budget[['#]:[Rozpočtová kapitola]],9,FALSE))</f>
        <v/>
      </c>
      <c r="Q22" s="457" t="str">
        <f>IF(ISBLANK(tab_invoices[[#This Row],['#]]),"",VLOOKUP(tab_invoices[[#This Row],['#]],tab_budget[['#]:[Realizuje]],10,FALSE))</f>
        <v/>
      </c>
      <c r="R22" s="457"/>
      <c r="S22" s="457"/>
    </row>
    <row r="23" spans="1:19" s="307" customFormat="1" ht="10.199999999999999" x14ac:dyDescent="0.2">
      <c r="A23" s="451">
        <f t="shared" si="0"/>
        <v>14</v>
      </c>
      <c r="B23" s="452"/>
      <c r="C23" s="453"/>
      <c r="D23" s="454"/>
      <c r="E23" s="454"/>
      <c r="F23" s="452"/>
      <c r="G23" s="455"/>
      <c r="H23" s="455"/>
      <c r="I23" s="452"/>
      <c r="J23" s="452"/>
      <c r="K23" s="291">
        <f>tab_invoices[[#This Row],[Množstvo]]*tab_invoices[[#This Row],[Náklady na jednotku]]</f>
        <v>0</v>
      </c>
      <c r="L23" s="454"/>
      <c r="M23" s="292" t="str">
        <f>IF(ISBLANK(tab_invoices[[#This Row],['#]]),"",VLOOKUP(tab_invoices[[#This Row],['#]],tab_budget[['#]:[Rozpočtová položka]],2,FALSE))</f>
        <v/>
      </c>
      <c r="N23" s="457" t="str">
        <f>IF(ISBLANK(tab_invoices[[#This Row],['#]]),"",VLOOKUP(tab_invoices[[#This Row],['#]],tab_budget[['#]:[Typ výdavku]],7,FALSE))</f>
        <v/>
      </c>
      <c r="O23" s="457" t="str">
        <f>IF(ISBLANK(tab_invoices[[#This Row],['#]]),"",VLOOKUP(tab_invoices[[#This Row],['#]],tab_budget[['#]:[Rozpočtová položka]],8,FALSE))</f>
        <v/>
      </c>
      <c r="P23" s="457" t="str">
        <f>IF(ISBLANK(tab_invoices[[#This Row],['#]]),"",VLOOKUP(tab_invoices[[#This Row],['#]],tab_budget[['#]:[Rozpočtová kapitola]],9,FALSE))</f>
        <v/>
      </c>
      <c r="Q23" s="457" t="str">
        <f>IF(ISBLANK(tab_invoices[[#This Row],['#]]),"",VLOOKUP(tab_invoices[[#This Row],['#]],tab_budget[['#]:[Realizuje]],10,FALSE))</f>
        <v/>
      </c>
      <c r="R23" s="457"/>
      <c r="S23" s="457"/>
    </row>
    <row r="24" spans="1:19" s="307" customFormat="1" ht="10.199999999999999" x14ac:dyDescent="0.2">
      <c r="A24" s="451">
        <f t="shared" si="0"/>
        <v>15</v>
      </c>
      <c r="B24" s="452"/>
      <c r="C24" s="453"/>
      <c r="D24" s="454"/>
      <c r="E24" s="454"/>
      <c r="F24" s="452"/>
      <c r="G24" s="455"/>
      <c r="H24" s="455"/>
      <c r="I24" s="452"/>
      <c r="J24" s="452"/>
      <c r="K24" s="291">
        <f>tab_invoices[[#This Row],[Množstvo]]*tab_invoices[[#This Row],[Náklady na jednotku]]</f>
        <v>0</v>
      </c>
      <c r="L24" s="454"/>
      <c r="M24" s="292" t="str">
        <f>IF(ISBLANK(tab_invoices[[#This Row],['#]]),"",VLOOKUP(tab_invoices[[#This Row],['#]],tab_budget[['#]:[Rozpočtová položka]],2,FALSE))</f>
        <v/>
      </c>
      <c r="N24" s="457" t="str">
        <f>IF(ISBLANK(tab_invoices[[#This Row],['#]]),"",VLOOKUP(tab_invoices[[#This Row],['#]],tab_budget[['#]:[Typ výdavku]],7,FALSE))</f>
        <v/>
      </c>
      <c r="O24" s="457" t="str">
        <f>IF(ISBLANK(tab_invoices[[#This Row],['#]]),"",VLOOKUP(tab_invoices[[#This Row],['#]],tab_budget[['#]:[Rozpočtová položka]],8,FALSE))</f>
        <v/>
      </c>
      <c r="P24" s="457" t="str">
        <f>IF(ISBLANK(tab_invoices[[#This Row],['#]]),"",VLOOKUP(tab_invoices[[#This Row],['#]],tab_budget[['#]:[Rozpočtová kapitola]],9,FALSE))</f>
        <v/>
      </c>
      <c r="Q24" s="457" t="str">
        <f>IF(ISBLANK(tab_invoices[[#This Row],['#]]),"",VLOOKUP(tab_invoices[[#This Row],['#]],tab_budget[['#]:[Realizuje]],10,FALSE))</f>
        <v/>
      </c>
      <c r="R24" s="457"/>
      <c r="S24" s="457"/>
    </row>
    <row r="25" spans="1:19" s="307" customFormat="1" ht="10.199999999999999" x14ac:dyDescent="0.2">
      <c r="A25" s="451">
        <f t="shared" si="0"/>
        <v>16</v>
      </c>
      <c r="B25" s="452"/>
      <c r="C25" s="453"/>
      <c r="D25" s="454"/>
      <c r="E25" s="454"/>
      <c r="F25" s="452"/>
      <c r="G25" s="455"/>
      <c r="H25" s="455"/>
      <c r="I25" s="452"/>
      <c r="J25" s="452"/>
      <c r="K25" s="291">
        <f>tab_invoices[[#This Row],[Množstvo]]*tab_invoices[[#This Row],[Náklady na jednotku]]</f>
        <v>0</v>
      </c>
      <c r="L25" s="454"/>
      <c r="M25" s="292" t="str">
        <f>IF(ISBLANK(tab_invoices[[#This Row],['#]]),"",VLOOKUP(tab_invoices[[#This Row],['#]],tab_budget[['#]:[Rozpočtová položka]],2,FALSE))</f>
        <v/>
      </c>
      <c r="N25" s="457" t="str">
        <f>IF(ISBLANK(tab_invoices[[#This Row],['#]]),"",VLOOKUP(tab_invoices[[#This Row],['#]],tab_budget[['#]:[Typ výdavku]],7,FALSE))</f>
        <v/>
      </c>
      <c r="O25" s="457" t="str">
        <f>IF(ISBLANK(tab_invoices[[#This Row],['#]]),"",VLOOKUP(tab_invoices[[#This Row],['#]],tab_budget[['#]:[Rozpočtová položka]],8,FALSE))</f>
        <v/>
      </c>
      <c r="P25" s="457" t="str">
        <f>IF(ISBLANK(tab_invoices[[#This Row],['#]]),"",VLOOKUP(tab_invoices[[#This Row],['#]],tab_budget[['#]:[Rozpočtová kapitola]],9,FALSE))</f>
        <v/>
      </c>
      <c r="Q25" s="457" t="str">
        <f>IF(ISBLANK(tab_invoices[[#This Row],['#]]),"",VLOOKUP(tab_invoices[[#This Row],['#]],tab_budget[['#]:[Realizuje]],10,FALSE))</f>
        <v/>
      </c>
      <c r="R25" s="457"/>
      <c r="S25" s="457"/>
    </row>
    <row r="26" spans="1:19" s="307" customFormat="1" ht="10.199999999999999" x14ac:dyDescent="0.2">
      <c r="A26" s="451">
        <f t="shared" si="0"/>
        <v>17</v>
      </c>
      <c r="B26" s="452"/>
      <c r="C26" s="453"/>
      <c r="D26" s="454"/>
      <c r="E26" s="454"/>
      <c r="F26" s="452"/>
      <c r="G26" s="455"/>
      <c r="H26" s="455"/>
      <c r="I26" s="452"/>
      <c r="J26" s="452"/>
      <c r="K26" s="291">
        <f>tab_invoices[[#This Row],[Množstvo]]*tab_invoices[[#This Row],[Náklady na jednotku]]</f>
        <v>0</v>
      </c>
      <c r="L26" s="454"/>
      <c r="M26" s="292" t="str">
        <f>IF(ISBLANK(tab_invoices[[#This Row],['#]]),"",VLOOKUP(tab_invoices[[#This Row],['#]],tab_budget[['#]:[Rozpočtová položka]],2,FALSE))</f>
        <v/>
      </c>
      <c r="N26" s="457" t="str">
        <f>IF(ISBLANK(tab_invoices[[#This Row],['#]]),"",VLOOKUP(tab_invoices[[#This Row],['#]],tab_budget[['#]:[Typ výdavku]],7,FALSE))</f>
        <v/>
      </c>
      <c r="O26" s="457" t="str">
        <f>IF(ISBLANK(tab_invoices[[#This Row],['#]]),"",VLOOKUP(tab_invoices[[#This Row],['#]],tab_budget[['#]:[Rozpočtová položka]],8,FALSE))</f>
        <v/>
      </c>
      <c r="P26" s="457" t="str">
        <f>IF(ISBLANK(tab_invoices[[#This Row],['#]]),"",VLOOKUP(tab_invoices[[#This Row],['#]],tab_budget[['#]:[Rozpočtová kapitola]],9,FALSE))</f>
        <v/>
      </c>
      <c r="Q26" s="457" t="str">
        <f>IF(ISBLANK(tab_invoices[[#This Row],['#]]),"",VLOOKUP(tab_invoices[[#This Row],['#]],tab_budget[['#]:[Realizuje]],10,FALSE))</f>
        <v/>
      </c>
      <c r="R26" s="457"/>
      <c r="S26" s="457"/>
    </row>
    <row r="27" spans="1:19" s="307" customFormat="1" ht="10.199999999999999" x14ac:dyDescent="0.2">
      <c r="A27" s="451">
        <f t="shared" si="0"/>
        <v>18</v>
      </c>
      <c r="B27" s="452"/>
      <c r="C27" s="453"/>
      <c r="D27" s="454"/>
      <c r="E27" s="454"/>
      <c r="F27" s="452"/>
      <c r="G27" s="455"/>
      <c r="H27" s="455"/>
      <c r="I27" s="452"/>
      <c r="J27" s="452"/>
      <c r="K27" s="291">
        <f>tab_invoices[[#This Row],[Množstvo]]*tab_invoices[[#This Row],[Náklady na jednotku]]</f>
        <v>0</v>
      </c>
      <c r="L27" s="454"/>
      <c r="M27" s="292" t="str">
        <f>IF(ISBLANK(tab_invoices[[#This Row],['#]]),"",VLOOKUP(tab_invoices[[#This Row],['#]],tab_budget[['#]:[Rozpočtová položka]],2,FALSE))</f>
        <v/>
      </c>
      <c r="N27" s="457" t="str">
        <f>IF(ISBLANK(tab_invoices[[#This Row],['#]]),"",VLOOKUP(tab_invoices[[#This Row],['#]],tab_budget[['#]:[Typ výdavku]],7,FALSE))</f>
        <v/>
      </c>
      <c r="O27" s="457" t="str">
        <f>IF(ISBLANK(tab_invoices[[#This Row],['#]]),"",VLOOKUP(tab_invoices[[#This Row],['#]],tab_budget[['#]:[Rozpočtová položka]],8,FALSE))</f>
        <v/>
      </c>
      <c r="P27" s="457" t="str">
        <f>IF(ISBLANK(tab_invoices[[#This Row],['#]]),"",VLOOKUP(tab_invoices[[#This Row],['#]],tab_budget[['#]:[Rozpočtová kapitola]],9,FALSE))</f>
        <v/>
      </c>
      <c r="Q27" s="457" t="str">
        <f>IF(ISBLANK(tab_invoices[[#This Row],['#]]),"",VLOOKUP(tab_invoices[[#This Row],['#]],tab_budget[['#]:[Realizuje]],10,FALSE))</f>
        <v/>
      </c>
      <c r="R27" s="457"/>
      <c r="S27" s="457"/>
    </row>
    <row r="28" spans="1:19" s="307" customFormat="1" ht="10.199999999999999" x14ac:dyDescent="0.2">
      <c r="A28" s="451">
        <f t="shared" si="0"/>
        <v>19</v>
      </c>
      <c r="B28" s="452"/>
      <c r="C28" s="453"/>
      <c r="D28" s="454"/>
      <c r="E28" s="454"/>
      <c r="F28" s="452"/>
      <c r="G28" s="455"/>
      <c r="H28" s="455"/>
      <c r="I28" s="452"/>
      <c r="J28" s="452"/>
      <c r="K28" s="291">
        <f>tab_invoices[[#This Row],[Množstvo]]*tab_invoices[[#This Row],[Náklady na jednotku]]</f>
        <v>0</v>
      </c>
      <c r="L28" s="454"/>
      <c r="M28" s="292" t="str">
        <f>IF(ISBLANK(tab_invoices[[#This Row],['#]]),"",VLOOKUP(tab_invoices[[#This Row],['#]],tab_budget[['#]:[Rozpočtová položka]],2,FALSE))</f>
        <v/>
      </c>
      <c r="N28" s="457" t="str">
        <f>IF(ISBLANK(tab_invoices[[#This Row],['#]]),"",VLOOKUP(tab_invoices[[#This Row],['#]],tab_budget[['#]:[Typ výdavku]],7,FALSE))</f>
        <v/>
      </c>
      <c r="O28" s="457" t="str">
        <f>IF(ISBLANK(tab_invoices[[#This Row],['#]]),"",VLOOKUP(tab_invoices[[#This Row],['#]],tab_budget[['#]:[Rozpočtová položka]],8,FALSE))</f>
        <v/>
      </c>
      <c r="P28" s="457" t="str">
        <f>IF(ISBLANK(tab_invoices[[#This Row],['#]]),"",VLOOKUP(tab_invoices[[#This Row],['#]],tab_budget[['#]:[Rozpočtová kapitola]],9,FALSE))</f>
        <v/>
      </c>
      <c r="Q28" s="457" t="str">
        <f>IF(ISBLANK(tab_invoices[[#This Row],['#]]),"",VLOOKUP(tab_invoices[[#This Row],['#]],tab_budget[['#]:[Realizuje]],10,FALSE))</f>
        <v/>
      </c>
      <c r="R28" s="457"/>
      <c r="S28" s="457"/>
    </row>
    <row r="29" spans="1:19" s="307" customFormat="1" ht="10.199999999999999" x14ac:dyDescent="0.2">
      <c r="A29" s="451">
        <f t="shared" si="0"/>
        <v>20</v>
      </c>
      <c r="B29" s="452"/>
      <c r="C29" s="453"/>
      <c r="D29" s="454"/>
      <c r="E29" s="454"/>
      <c r="F29" s="452"/>
      <c r="G29" s="455"/>
      <c r="H29" s="455"/>
      <c r="I29" s="452"/>
      <c r="J29" s="452"/>
      <c r="K29" s="291">
        <f>tab_invoices[[#This Row],[Množstvo]]*tab_invoices[[#This Row],[Náklady na jednotku]]</f>
        <v>0</v>
      </c>
      <c r="L29" s="454"/>
      <c r="M29" s="292" t="str">
        <f>IF(ISBLANK(tab_invoices[[#This Row],['#]]),"",VLOOKUP(tab_invoices[[#This Row],['#]],tab_budget[['#]:[Rozpočtová položka]],2,FALSE))</f>
        <v/>
      </c>
      <c r="N29" s="457" t="str">
        <f>IF(ISBLANK(tab_invoices[[#This Row],['#]]),"",VLOOKUP(tab_invoices[[#This Row],['#]],tab_budget[['#]:[Typ výdavku]],7,FALSE))</f>
        <v/>
      </c>
      <c r="O29" s="457" t="str">
        <f>IF(ISBLANK(tab_invoices[[#This Row],['#]]),"",VLOOKUP(tab_invoices[[#This Row],['#]],tab_budget[['#]:[Rozpočtová položka]],8,FALSE))</f>
        <v/>
      </c>
      <c r="P29" s="457" t="str">
        <f>IF(ISBLANK(tab_invoices[[#This Row],['#]]),"",VLOOKUP(tab_invoices[[#This Row],['#]],tab_budget[['#]:[Rozpočtová kapitola]],9,FALSE))</f>
        <v/>
      </c>
      <c r="Q29" s="457" t="str">
        <f>IF(ISBLANK(tab_invoices[[#This Row],['#]]),"",VLOOKUP(tab_invoices[[#This Row],['#]],tab_budget[['#]:[Realizuje]],10,FALSE))</f>
        <v/>
      </c>
      <c r="R29" s="457"/>
      <c r="S29" s="457"/>
    </row>
    <row r="30" spans="1:19" s="307" customFormat="1" ht="10.199999999999999" x14ac:dyDescent="0.2">
      <c r="A30" s="451">
        <f t="shared" si="0"/>
        <v>21</v>
      </c>
      <c r="B30" s="452"/>
      <c r="C30" s="453"/>
      <c r="D30" s="454"/>
      <c r="E30" s="454"/>
      <c r="F30" s="452"/>
      <c r="G30" s="455"/>
      <c r="H30" s="455"/>
      <c r="I30" s="452"/>
      <c r="J30" s="452"/>
      <c r="K30" s="291">
        <f>tab_invoices[[#This Row],[Množstvo]]*tab_invoices[[#This Row],[Náklady na jednotku]]</f>
        <v>0</v>
      </c>
      <c r="L30" s="454"/>
      <c r="M30" s="292" t="str">
        <f>IF(ISBLANK(tab_invoices[[#This Row],['#]]),"",VLOOKUP(tab_invoices[[#This Row],['#]],tab_budget[['#]:[Rozpočtová položka]],2,FALSE))</f>
        <v/>
      </c>
      <c r="N30" s="457" t="str">
        <f>IF(ISBLANK(tab_invoices[[#This Row],['#]]),"",VLOOKUP(tab_invoices[[#This Row],['#]],tab_budget[['#]:[Typ výdavku]],7,FALSE))</f>
        <v/>
      </c>
      <c r="O30" s="457" t="str">
        <f>IF(ISBLANK(tab_invoices[[#This Row],['#]]),"",VLOOKUP(tab_invoices[[#This Row],['#]],tab_budget[['#]:[Rozpočtová položka]],8,FALSE))</f>
        <v/>
      </c>
      <c r="P30" s="457" t="str">
        <f>IF(ISBLANK(tab_invoices[[#This Row],['#]]),"",VLOOKUP(tab_invoices[[#This Row],['#]],tab_budget[['#]:[Rozpočtová kapitola]],9,FALSE))</f>
        <v/>
      </c>
      <c r="Q30" s="457" t="str">
        <f>IF(ISBLANK(tab_invoices[[#This Row],['#]]),"",VLOOKUP(tab_invoices[[#This Row],['#]],tab_budget[['#]:[Realizuje]],10,FALSE))</f>
        <v/>
      </c>
      <c r="R30" s="457"/>
      <c r="S30" s="457"/>
    </row>
    <row r="31" spans="1:19" s="307" customFormat="1" ht="10.199999999999999" x14ac:dyDescent="0.2">
      <c r="A31" s="451">
        <f t="shared" si="0"/>
        <v>22</v>
      </c>
      <c r="B31" s="452"/>
      <c r="C31" s="453"/>
      <c r="D31" s="454"/>
      <c r="E31" s="454"/>
      <c r="F31" s="452"/>
      <c r="G31" s="455"/>
      <c r="H31" s="455"/>
      <c r="I31" s="452"/>
      <c r="J31" s="452"/>
      <c r="K31" s="291">
        <f>tab_invoices[[#This Row],[Množstvo]]*tab_invoices[[#This Row],[Náklady na jednotku]]</f>
        <v>0</v>
      </c>
      <c r="L31" s="454"/>
      <c r="M31" s="292" t="str">
        <f>IF(ISBLANK(tab_invoices[[#This Row],['#]]),"",VLOOKUP(tab_invoices[[#This Row],['#]],tab_budget[['#]:[Rozpočtová položka]],2,FALSE))</f>
        <v/>
      </c>
      <c r="N31" s="457" t="str">
        <f>IF(ISBLANK(tab_invoices[[#This Row],['#]]),"",VLOOKUP(tab_invoices[[#This Row],['#]],tab_budget[['#]:[Typ výdavku]],7,FALSE))</f>
        <v/>
      </c>
      <c r="O31" s="457" t="str">
        <f>IF(ISBLANK(tab_invoices[[#This Row],['#]]),"",VLOOKUP(tab_invoices[[#This Row],['#]],tab_budget[['#]:[Rozpočtová položka]],8,FALSE))</f>
        <v/>
      </c>
      <c r="P31" s="457" t="str">
        <f>IF(ISBLANK(tab_invoices[[#This Row],['#]]),"",VLOOKUP(tab_invoices[[#This Row],['#]],tab_budget[['#]:[Rozpočtová kapitola]],9,FALSE))</f>
        <v/>
      </c>
      <c r="Q31" s="457" t="str">
        <f>IF(ISBLANK(tab_invoices[[#This Row],['#]]),"",VLOOKUP(tab_invoices[[#This Row],['#]],tab_budget[['#]:[Realizuje]],10,FALSE))</f>
        <v/>
      </c>
      <c r="R31" s="457"/>
      <c r="S31" s="457"/>
    </row>
    <row r="32" spans="1:19" s="307" customFormat="1" ht="10.199999999999999" x14ac:dyDescent="0.2">
      <c r="A32" s="451">
        <f t="shared" si="0"/>
        <v>23</v>
      </c>
      <c r="B32" s="452"/>
      <c r="C32" s="453"/>
      <c r="D32" s="454"/>
      <c r="E32" s="454"/>
      <c r="F32" s="452"/>
      <c r="G32" s="455"/>
      <c r="H32" s="455"/>
      <c r="I32" s="452"/>
      <c r="J32" s="452"/>
      <c r="K32" s="291">
        <f>tab_invoices[[#This Row],[Množstvo]]*tab_invoices[[#This Row],[Náklady na jednotku]]</f>
        <v>0</v>
      </c>
      <c r="L32" s="454"/>
      <c r="M32" s="292" t="str">
        <f>IF(ISBLANK(tab_invoices[[#This Row],['#]]),"",VLOOKUP(tab_invoices[[#This Row],['#]],tab_budget[['#]:[Rozpočtová položka]],2,FALSE))</f>
        <v/>
      </c>
      <c r="N32" s="457" t="str">
        <f>IF(ISBLANK(tab_invoices[[#This Row],['#]]),"",VLOOKUP(tab_invoices[[#This Row],['#]],tab_budget[['#]:[Typ výdavku]],7,FALSE))</f>
        <v/>
      </c>
      <c r="O32" s="457" t="str">
        <f>IF(ISBLANK(tab_invoices[[#This Row],['#]]),"",VLOOKUP(tab_invoices[[#This Row],['#]],tab_budget[['#]:[Rozpočtová položka]],8,FALSE))</f>
        <v/>
      </c>
      <c r="P32" s="457" t="str">
        <f>IF(ISBLANK(tab_invoices[[#This Row],['#]]),"",VLOOKUP(tab_invoices[[#This Row],['#]],tab_budget[['#]:[Rozpočtová kapitola]],9,FALSE))</f>
        <v/>
      </c>
      <c r="Q32" s="457" t="str">
        <f>IF(ISBLANK(tab_invoices[[#This Row],['#]]),"",VLOOKUP(tab_invoices[[#This Row],['#]],tab_budget[['#]:[Realizuje]],10,FALSE))</f>
        <v/>
      </c>
      <c r="R32" s="457"/>
      <c r="S32" s="457"/>
    </row>
    <row r="33" spans="1:19" s="307" customFormat="1" ht="10.199999999999999" x14ac:dyDescent="0.2">
      <c r="A33" s="451">
        <f t="shared" si="0"/>
        <v>24</v>
      </c>
      <c r="B33" s="452"/>
      <c r="C33" s="453"/>
      <c r="D33" s="454"/>
      <c r="E33" s="454"/>
      <c r="F33" s="452"/>
      <c r="G33" s="455"/>
      <c r="H33" s="455"/>
      <c r="I33" s="452"/>
      <c r="J33" s="452"/>
      <c r="K33" s="291">
        <f>tab_invoices[[#This Row],[Množstvo]]*tab_invoices[[#This Row],[Náklady na jednotku]]</f>
        <v>0</v>
      </c>
      <c r="L33" s="454"/>
      <c r="M33" s="292" t="str">
        <f>IF(ISBLANK(tab_invoices[[#This Row],['#]]),"",VLOOKUP(tab_invoices[[#This Row],['#]],tab_budget[['#]:[Rozpočtová položka]],2,FALSE))</f>
        <v/>
      </c>
      <c r="N33" s="457" t="str">
        <f>IF(ISBLANK(tab_invoices[[#This Row],['#]]),"",VLOOKUP(tab_invoices[[#This Row],['#]],tab_budget[['#]:[Typ výdavku]],7,FALSE))</f>
        <v/>
      </c>
      <c r="O33" s="457" t="str">
        <f>IF(ISBLANK(tab_invoices[[#This Row],['#]]),"",VLOOKUP(tab_invoices[[#This Row],['#]],tab_budget[['#]:[Rozpočtová položka]],8,FALSE))</f>
        <v/>
      </c>
      <c r="P33" s="457" t="str">
        <f>IF(ISBLANK(tab_invoices[[#This Row],['#]]),"",VLOOKUP(tab_invoices[[#This Row],['#]],tab_budget[['#]:[Rozpočtová kapitola]],9,FALSE))</f>
        <v/>
      </c>
      <c r="Q33" s="457" t="str">
        <f>IF(ISBLANK(tab_invoices[[#This Row],['#]]),"",VLOOKUP(tab_invoices[[#This Row],['#]],tab_budget[['#]:[Realizuje]],10,FALSE))</f>
        <v/>
      </c>
      <c r="R33" s="457"/>
      <c r="S33" s="457"/>
    </row>
    <row r="34" spans="1:19" s="307" customFormat="1" ht="10.199999999999999" x14ac:dyDescent="0.2">
      <c r="A34" s="451">
        <f t="shared" si="0"/>
        <v>25</v>
      </c>
      <c r="B34" s="452"/>
      <c r="C34" s="453"/>
      <c r="D34" s="454"/>
      <c r="E34" s="454"/>
      <c r="F34" s="452"/>
      <c r="G34" s="455"/>
      <c r="H34" s="455"/>
      <c r="I34" s="452"/>
      <c r="J34" s="452"/>
      <c r="K34" s="291">
        <f>tab_invoices[[#This Row],[Množstvo]]*tab_invoices[[#This Row],[Náklady na jednotku]]</f>
        <v>0</v>
      </c>
      <c r="L34" s="454"/>
      <c r="M34" s="292" t="str">
        <f>IF(ISBLANK(tab_invoices[[#This Row],['#]]),"",VLOOKUP(tab_invoices[[#This Row],['#]],tab_budget[['#]:[Rozpočtová položka]],2,FALSE))</f>
        <v/>
      </c>
      <c r="N34" s="457" t="str">
        <f>IF(ISBLANK(tab_invoices[[#This Row],['#]]),"",VLOOKUP(tab_invoices[[#This Row],['#]],tab_budget[['#]:[Typ výdavku]],7,FALSE))</f>
        <v/>
      </c>
      <c r="O34" s="457" t="str">
        <f>IF(ISBLANK(tab_invoices[[#This Row],['#]]),"",VLOOKUP(tab_invoices[[#This Row],['#]],tab_budget[['#]:[Rozpočtová položka]],8,FALSE))</f>
        <v/>
      </c>
      <c r="P34" s="457" t="str">
        <f>IF(ISBLANK(tab_invoices[[#This Row],['#]]),"",VLOOKUP(tab_invoices[[#This Row],['#]],tab_budget[['#]:[Rozpočtová kapitola]],9,FALSE))</f>
        <v/>
      </c>
      <c r="Q34" s="457" t="str">
        <f>IF(ISBLANK(tab_invoices[[#This Row],['#]]),"",VLOOKUP(tab_invoices[[#This Row],['#]],tab_budget[['#]:[Realizuje]],10,FALSE))</f>
        <v/>
      </c>
      <c r="R34" s="457"/>
      <c r="S34" s="457"/>
    </row>
    <row r="35" spans="1:19" s="307" customFormat="1" ht="10.199999999999999" x14ac:dyDescent="0.2">
      <c r="A35" s="451">
        <f t="shared" si="0"/>
        <v>26</v>
      </c>
      <c r="B35" s="452"/>
      <c r="C35" s="453"/>
      <c r="D35" s="454"/>
      <c r="E35" s="454"/>
      <c r="F35" s="452"/>
      <c r="G35" s="455"/>
      <c r="H35" s="455"/>
      <c r="I35" s="452"/>
      <c r="J35" s="452"/>
      <c r="K35" s="291">
        <f>tab_invoices[[#This Row],[Množstvo]]*tab_invoices[[#This Row],[Náklady na jednotku]]</f>
        <v>0</v>
      </c>
      <c r="L35" s="454"/>
      <c r="M35" s="292" t="str">
        <f>IF(ISBLANK(tab_invoices[[#This Row],['#]]),"",VLOOKUP(tab_invoices[[#This Row],['#]],tab_budget[['#]:[Rozpočtová položka]],2,FALSE))</f>
        <v/>
      </c>
      <c r="N35" s="457" t="str">
        <f>IF(ISBLANK(tab_invoices[[#This Row],['#]]),"",VLOOKUP(tab_invoices[[#This Row],['#]],tab_budget[['#]:[Typ výdavku]],7,FALSE))</f>
        <v/>
      </c>
      <c r="O35" s="457" t="str">
        <f>IF(ISBLANK(tab_invoices[[#This Row],['#]]),"",VLOOKUP(tab_invoices[[#This Row],['#]],tab_budget[['#]:[Rozpočtová položka]],8,FALSE))</f>
        <v/>
      </c>
      <c r="P35" s="457" t="str">
        <f>IF(ISBLANK(tab_invoices[[#This Row],['#]]),"",VLOOKUP(tab_invoices[[#This Row],['#]],tab_budget[['#]:[Rozpočtová kapitola]],9,FALSE))</f>
        <v/>
      </c>
      <c r="Q35" s="457" t="str">
        <f>IF(ISBLANK(tab_invoices[[#This Row],['#]]),"",VLOOKUP(tab_invoices[[#This Row],['#]],tab_budget[['#]:[Realizuje]],10,FALSE))</f>
        <v/>
      </c>
      <c r="R35" s="457"/>
      <c r="S35" s="457"/>
    </row>
    <row r="36" spans="1:19" s="307" customFormat="1" ht="10.199999999999999" x14ac:dyDescent="0.2">
      <c r="A36" s="451">
        <f t="shared" si="0"/>
        <v>27</v>
      </c>
      <c r="B36" s="452"/>
      <c r="C36" s="453"/>
      <c r="D36" s="454"/>
      <c r="E36" s="454"/>
      <c r="F36" s="452"/>
      <c r="G36" s="455"/>
      <c r="H36" s="455"/>
      <c r="I36" s="452"/>
      <c r="J36" s="452"/>
      <c r="K36" s="291">
        <f>tab_invoices[[#This Row],[Množstvo]]*tab_invoices[[#This Row],[Náklady na jednotku]]</f>
        <v>0</v>
      </c>
      <c r="L36" s="454"/>
      <c r="M36" s="292" t="str">
        <f>IF(ISBLANK(tab_invoices[[#This Row],['#]]),"",VLOOKUP(tab_invoices[[#This Row],['#]],tab_budget[['#]:[Rozpočtová položka]],2,FALSE))</f>
        <v/>
      </c>
      <c r="N36" s="457" t="str">
        <f>IF(ISBLANK(tab_invoices[[#This Row],['#]]),"",VLOOKUP(tab_invoices[[#This Row],['#]],tab_budget[['#]:[Typ výdavku]],7,FALSE))</f>
        <v/>
      </c>
      <c r="O36" s="457" t="str">
        <f>IF(ISBLANK(tab_invoices[[#This Row],['#]]),"",VLOOKUP(tab_invoices[[#This Row],['#]],tab_budget[['#]:[Rozpočtová položka]],8,FALSE))</f>
        <v/>
      </c>
      <c r="P36" s="457" t="str">
        <f>IF(ISBLANK(tab_invoices[[#This Row],['#]]),"",VLOOKUP(tab_invoices[[#This Row],['#]],tab_budget[['#]:[Rozpočtová kapitola]],9,FALSE))</f>
        <v/>
      </c>
      <c r="Q36" s="457" t="str">
        <f>IF(ISBLANK(tab_invoices[[#This Row],['#]]),"",VLOOKUP(tab_invoices[[#This Row],['#]],tab_budget[['#]:[Realizuje]],10,FALSE))</f>
        <v/>
      </c>
      <c r="R36" s="457"/>
      <c r="S36" s="457"/>
    </row>
    <row r="37" spans="1:19" s="307" customFormat="1" ht="10.199999999999999" x14ac:dyDescent="0.2">
      <c r="A37" s="451">
        <f t="shared" si="0"/>
        <v>28</v>
      </c>
      <c r="B37" s="452"/>
      <c r="C37" s="453"/>
      <c r="D37" s="454"/>
      <c r="E37" s="454"/>
      <c r="F37" s="452"/>
      <c r="G37" s="455"/>
      <c r="H37" s="455"/>
      <c r="I37" s="452"/>
      <c r="J37" s="452"/>
      <c r="K37" s="291">
        <f>tab_invoices[[#This Row],[Množstvo]]*tab_invoices[[#This Row],[Náklady na jednotku]]</f>
        <v>0</v>
      </c>
      <c r="L37" s="454"/>
      <c r="M37" s="292" t="str">
        <f>IF(ISBLANK(tab_invoices[[#This Row],['#]]),"",VLOOKUP(tab_invoices[[#This Row],['#]],tab_budget[['#]:[Rozpočtová položka]],2,FALSE))</f>
        <v/>
      </c>
      <c r="N37" s="457" t="str">
        <f>IF(ISBLANK(tab_invoices[[#This Row],['#]]),"",VLOOKUP(tab_invoices[[#This Row],['#]],tab_budget[['#]:[Typ výdavku]],7,FALSE))</f>
        <v/>
      </c>
      <c r="O37" s="457" t="str">
        <f>IF(ISBLANK(tab_invoices[[#This Row],['#]]),"",VLOOKUP(tab_invoices[[#This Row],['#]],tab_budget[['#]:[Rozpočtová položka]],8,FALSE))</f>
        <v/>
      </c>
      <c r="P37" s="457" t="str">
        <f>IF(ISBLANK(tab_invoices[[#This Row],['#]]),"",VLOOKUP(tab_invoices[[#This Row],['#]],tab_budget[['#]:[Rozpočtová kapitola]],9,FALSE))</f>
        <v/>
      </c>
      <c r="Q37" s="457" t="str">
        <f>IF(ISBLANK(tab_invoices[[#This Row],['#]]),"",VLOOKUP(tab_invoices[[#This Row],['#]],tab_budget[['#]:[Realizuje]],10,FALSE))</f>
        <v/>
      </c>
      <c r="R37" s="457"/>
      <c r="S37" s="457"/>
    </row>
    <row r="38" spans="1:19" s="307" customFormat="1" ht="10.199999999999999" x14ac:dyDescent="0.2">
      <c r="A38" s="451">
        <f t="shared" si="0"/>
        <v>29</v>
      </c>
      <c r="B38" s="452"/>
      <c r="C38" s="453"/>
      <c r="D38" s="454"/>
      <c r="E38" s="454"/>
      <c r="F38" s="452"/>
      <c r="G38" s="455"/>
      <c r="H38" s="455"/>
      <c r="I38" s="452"/>
      <c r="J38" s="452"/>
      <c r="K38" s="291">
        <f>tab_invoices[[#This Row],[Množstvo]]*tab_invoices[[#This Row],[Náklady na jednotku]]</f>
        <v>0</v>
      </c>
      <c r="L38" s="454"/>
      <c r="M38" s="292" t="str">
        <f>IF(ISBLANK(tab_invoices[[#This Row],['#]]),"",VLOOKUP(tab_invoices[[#This Row],['#]],tab_budget[['#]:[Rozpočtová položka]],2,FALSE))</f>
        <v/>
      </c>
      <c r="N38" s="457" t="str">
        <f>IF(ISBLANK(tab_invoices[[#This Row],['#]]),"",VLOOKUP(tab_invoices[[#This Row],['#]],tab_budget[['#]:[Typ výdavku]],7,FALSE))</f>
        <v/>
      </c>
      <c r="O38" s="457" t="str">
        <f>IF(ISBLANK(tab_invoices[[#This Row],['#]]),"",VLOOKUP(tab_invoices[[#This Row],['#]],tab_budget[['#]:[Rozpočtová položka]],8,FALSE))</f>
        <v/>
      </c>
      <c r="P38" s="457" t="str">
        <f>IF(ISBLANK(tab_invoices[[#This Row],['#]]),"",VLOOKUP(tab_invoices[[#This Row],['#]],tab_budget[['#]:[Rozpočtová kapitola]],9,FALSE))</f>
        <v/>
      </c>
      <c r="Q38" s="457" t="str">
        <f>IF(ISBLANK(tab_invoices[[#This Row],['#]]),"",VLOOKUP(tab_invoices[[#This Row],['#]],tab_budget[['#]:[Realizuje]],10,FALSE))</f>
        <v/>
      </c>
      <c r="R38" s="457"/>
      <c r="S38" s="457"/>
    </row>
    <row r="39" spans="1:19" s="307" customFormat="1" ht="10.199999999999999" x14ac:dyDescent="0.2">
      <c r="A39" s="451">
        <f t="shared" si="0"/>
        <v>30</v>
      </c>
      <c r="B39" s="452"/>
      <c r="C39" s="453"/>
      <c r="D39" s="454"/>
      <c r="E39" s="454"/>
      <c r="F39" s="452"/>
      <c r="G39" s="455"/>
      <c r="H39" s="455"/>
      <c r="I39" s="452"/>
      <c r="J39" s="452"/>
      <c r="K39" s="291">
        <f>tab_invoices[[#This Row],[Množstvo]]*tab_invoices[[#This Row],[Náklady na jednotku]]</f>
        <v>0</v>
      </c>
      <c r="L39" s="454"/>
      <c r="M39" s="292" t="str">
        <f>IF(ISBLANK(tab_invoices[[#This Row],['#]]),"",VLOOKUP(tab_invoices[[#This Row],['#]],tab_budget[['#]:[Rozpočtová položka]],2,FALSE))</f>
        <v/>
      </c>
      <c r="N39" s="457" t="str">
        <f>IF(ISBLANK(tab_invoices[[#This Row],['#]]),"",VLOOKUP(tab_invoices[[#This Row],['#]],tab_budget[['#]:[Typ výdavku]],7,FALSE))</f>
        <v/>
      </c>
      <c r="O39" s="457" t="str">
        <f>IF(ISBLANK(tab_invoices[[#This Row],['#]]),"",VLOOKUP(tab_invoices[[#This Row],['#]],tab_budget[['#]:[Rozpočtová položka]],8,FALSE))</f>
        <v/>
      </c>
      <c r="P39" s="457" t="str">
        <f>IF(ISBLANK(tab_invoices[[#This Row],['#]]),"",VLOOKUP(tab_invoices[[#This Row],['#]],tab_budget[['#]:[Rozpočtová kapitola]],9,FALSE))</f>
        <v/>
      </c>
      <c r="Q39" s="457" t="str">
        <f>IF(ISBLANK(tab_invoices[[#This Row],['#]]),"",VLOOKUP(tab_invoices[[#This Row],['#]],tab_budget[['#]:[Realizuje]],10,FALSE))</f>
        <v/>
      </c>
      <c r="R39" s="457"/>
      <c r="S39" s="457"/>
    </row>
    <row r="40" spans="1:19" s="307" customFormat="1" ht="10.199999999999999" x14ac:dyDescent="0.2">
      <c r="A40" s="451">
        <f t="shared" si="0"/>
        <v>31</v>
      </c>
      <c r="B40" s="452"/>
      <c r="C40" s="453"/>
      <c r="D40" s="454"/>
      <c r="E40" s="454"/>
      <c r="F40" s="452"/>
      <c r="G40" s="455"/>
      <c r="H40" s="455"/>
      <c r="I40" s="452"/>
      <c r="J40" s="452"/>
      <c r="K40" s="291">
        <f>tab_invoices[[#This Row],[Množstvo]]*tab_invoices[[#This Row],[Náklady na jednotku]]</f>
        <v>0</v>
      </c>
      <c r="L40" s="454"/>
      <c r="M40" s="292" t="str">
        <f>IF(ISBLANK(tab_invoices[[#This Row],['#]]),"",VLOOKUP(tab_invoices[[#This Row],['#]],tab_budget[['#]:[Rozpočtová položka]],2,FALSE))</f>
        <v/>
      </c>
      <c r="N40" s="457" t="str">
        <f>IF(ISBLANK(tab_invoices[[#This Row],['#]]),"",VLOOKUP(tab_invoices[[#This Row],['#]],tab_budget[['#]:[Typ výdavku]],7,FALSE))</f>
        <v/>
      </c>
      <c r="O40" s="457" t="str">
        <f>IF(ISBLANK(tab_invoices[[#This Row],['#]]),"",VLOOKUP(tab_invoices[[#This Row],['#]],tab_budget[['#]:[Rozpočtová položka]],8,FALSE))</f>
        <v/>
      </c>
      <c r="P40" s="457" t="str">
        <f>IF(ISBLANK(tab_invoices[[#This Row],['#]]),"",VLOOKUP(tab_invoices[[#This Row],['#]],tab_budget[['#]:[Rozpočtová kapitola]],9,FALSE))</f>
        <v/>
      </c>
      <c r="Q40" s="457" t="str">
        <f>IF(ISBLANK(tab_invoices[[#This Row],['#]]),"",VLOOKUP(tab_invoices[[#This Row],['#]],tab_budget[['#]:[Realizuje]],10,FALSE))</f>
        <v/>
      </c>
      <c r="R40" s="457"/>
      <c r="S40" s="457"/>
    </row>
    <row r="41" spans="1:19" s="307" customFormat="1" ht="10.199999999999999" x14ac:dyDescent="0.2">
      <c r="A41" s="451">
        <f t="shared" si="0"/>
        <v>32</v>
      </c>
      <c r="B41" s="452"/>
      <c r="C41" s="453"/>
      <c r="D41" s="454"/>
      <c r="E41" s="454"/>
      <c r="F41" s="452"/>
      <c r="G41" s="455"/>
      <c r="H41" s="455"/>
      <c r="I41" s="452"/>
      <c r="J41" s="452"/>
      <c r="K41" s="291">
        <f>tab_invoices[[#This Row],[Množstvo]]*tab_invoices[[#This Row],[Náklady na jednotku]]</f>
        <v>0</v>
      </c>
      <c r="L41" s="454"/>
      <c r="M41" s="292" t="str">
        <f>IF(ISBLANK(tab_invoices[[#This Row],['#]]),"",VLOOKUP(tab_invoices[[#This Row],['#]],tab_budget[['#]:[Rozpočtová položka]],2,FALSE))</f>
        <v/>
      </c>
      <c r="N41" s="457" t="str">
        <f>IF(ISBLANK(tab_invoices[[#This Row],['#]]),"",VLOOKUP(tab_invoices[[#This Row],['#]],tab_budget[['#]:[Typ výdavku]],7,FALSE))</f>
        <v/>
      </c>
      <c r="O41" s="457" t="str">
        <f>IF(ISBLANK(tab_invoices[[#This Row],['#]]),"",VLOOKUP(tab_invoices[[#This Row],['#]],tab_budget[['#]:[Rozpočtová položka]],8,FALSE))</f>
        <v/>
      </c>
      <c r="P41" s="457" t="str">
        <f>IF(ISBLANK(tab_invoices[[#This Row],['#]]),"",VLOOKUP(tab_invoices[[#This Row],['#]],tab_budget[['#]:[Rozpočtová kapitola]],9,FALSE))</f>
        <v/>
      </c>
      <c r="Q41" s="457" t="str">
        <f>IF(ISBLANK(tab_invoices[[#This Row],['#]]),"",VLOOKUP(tab_invoices[[#This Row],['#]],tab_budget[['#]:[Realizuje]],10,FALSE))</f>
        <v/>
      </c>
      <c r="R41" s="457"/>
      <c r="S41" s="457"/>
    </row>
    <row r="42" spans="1:19" s="307" customFormat="1" ht="10.199999999999999" x14ac:dyDescent="0.2">
      <c r="A42" s="451">
        <f t="shared" si="0"/>
        <v>33</v>
      </c>
      <c r="B42" s="452"/>
      <c r="C42" s="453"/>
      <c r="D42" s="454"/>
      <c r="E42" s="454"/>
      <c r="F42" s="452"/>
      <c r="G42" s="455"/>
      <c r="H42" s="455"/>
      <c r="I42" s="452"/>
      <c r="J42" s="452"/>
      <c r="K42" s="291">
        <f>tab_invoices[[#This Row],[Množstvo]]*tab_invoices[[#This Row],[Náklady na jednotku]]</f>
        <v>0</v>
      </c>
      <c r="L42" s="454"/>
      <c r="M42" s="292" t="str">
        <f>IF(ISBLANK(tab_invoices[[#This Row],['#]]),"",VLOOKUP(tab_invoices[[#This Row],['#]],tab_budget[['#]:[Rozpočtová položka]],2,FALSE))</f>
        <v/>
      </c>
      <c r="N42" s="457" t="str">
        <f>IF(ISBLANK(tab_invoices[[#This Row],['#]]),"",VLOOKUP(tab_invoices[[#This Row],['#]],tab_budget[['#]:[Typ výdavku]],7,FALSE))</f>
        <v/>
      </c>
      <c r="O42" s="457" t="str">
        <f>IF(ISBLANK(tab_invoices[[#This Row],['#]]),"",VLOOKUP(tab_invoices[[#This Row],['#]],tab_budget[['#]:[Rozpočtová položka]],8,FALSE))</f>
        <v/>
      </c>
      <c r="P42" s="457" t="str">
        <f>IF(ISBLANK(tab_invoices[[#This Row],['#]]),"",VLOOKUP(tab_invoices[[#This Row],['#]],tab_budget[['#]:[Rozpočtová kapitola]],9,FALSE))</f>
        <v/>
      </c>
      <c r="Q42" s="457" t="str">
        <f>IF(ISBLANK(tab_invoices[[#This Row],['#]]),"",VLOOKUP(tab_invoices[[#This Row],['#]],tab_budget[['#]:[Realizuje]],10,FALSE))</f>
        <v/>
      </c>
      <c r="R42" s="457"/>
      <c r="S42" s="457"/>
    </row>
    <row r="43" spans="1:19" s="307" customFormat="1" ht="10.199999999999999" x14ac:dyDescent="0.2">
      <c r="A43" s="451">
        <f t="shared" ref="A43:A74" si="1">ROW(B43)-9</f>
        <v>34</v>
      </c>
      <c r="B43" s="452"/>
      <c r="C43" s="453"/>
      <c r="D43" s="454"/>
      <c r="E43" s="454"/>
      <c r="F43" s="452"/>
      <c r="G43" s="455"/>
      <c r="H43" s="455"/>
      <c r="I43" s="452"/>
      <c r="J43" s="452"/>
      <c r="K43" s="291">
        <f>tab_invoices[[#This Row],[Množstvo]]*tab_invoices[[#This Row],[Náklady na jednotku]]</f>
        <v>0</v>
      </c>
      <c r="L43" s="454"/>
      <c r="M43" s="292" t="str">
        <f>IF(ISBLANK(tab_invoices[[#This Row],['#]]),"",VLOOKUP(tab_invoices[[#This Row],['#]],tab_budget[['#]:[Rozpočtová položka]],2,FALSE))</f>
        <v/>
      </c>
      <c r="N43" s="457" t="str">
        <f>IF(ISBLANK(tab_invoices[[#This Row],['#]]),"",VLOOKUP(tab_invoices[[#This Row],['#]],tab_budget[['#]:[Typ výdavku]],7,FALSE))</f>
        <v/>
      </c>
      <c r="O43" s="457" t="str">
        <f>IF(ISBLANK(tab_invoices[[#This Row],['#]]),"",VLOOKUP(tab_invoices[[#This Row],['#]],tab_budget[['#]:[Rozpočtová položka]],8,FALSE))</f>
        <v/>
      </c>
      <c r="P43" s="457" t="str">
        <f>IF(ISBLANK(tab_invoices[[#This Row],['#]]),"",VLOOKUP(tab_invoices[[#This Row],['#]],tab_budget[['#]:[Rozpočtová kapitola]],9,FALSE))</f>
        <v/>
      </c>
      <c r="Q43" s="457" t="str">
        <f>IF(ISBLANK(tab_invoices[[#This Row],['#]]),"",VLOOKUP(tab_invoices[[#This Row],['#]],tab_budget[['#]:[Realizuje]],10,FALSE))</f>
        <v/>
      </c>
      <c r="R43" s="457"/>
      <c r="S43" s="457"/>
    </row>
    <row r="44" spans="1:19" s="307" customFormat="1" ht="10.199999999999999" x14ac:dyDescent="0.2">
      <c r="A44" s="451">
        <f t="shared" si="1"/>
        <v>35</v>
      </c>
      <c r="B44" s="452"/>
      <c r="C44" s="453"/>
      <c r="D44" s="454"/>
      <c r="E44" s="454"/>
      <c r="F44" s="452"/>
      <c r="G44" s="455"/>
      <c r="H44" s="455"/>
      <c r="I44" s="452"/>
      <c r="J44" s="452"/>
      <c r="K44" s="291">
        <f>tab_invoices[[#This Row],[Množstvo]]*tab_invoices[[#This Row],[Náklady na jednotku]]</f>
        <v>0</v>
      </c>
      <c r="L44" s="454"/>
      <c r="M44" s="292" t="str">
        <f>IF(ISBLANK(tab_invoices[[#This Row],['#]]),"",VLOOKUP(tab_invoices[[#This Row],['#]],tab_budget[['#]:[Rozpočtová položka]],2,FALSE))</f>
        <v/>
      </c>
      <c r="N44" s="457" t="str">
        <f>IF(ISBLANK(tab_invoices[[#This Row],['#]]),"",VLOOKUP(tab_invoices[[#This Row],['#]],tab_budget[['#]:[Typ výdavku]],7,FALSE))</f>
        <v/>
      </c>
      <c r="O44" s="457" t="str">
        <f>IF(ISBLANK(tab_invoices[[#This Row],['#]]),"",VLOOKUP(tab_invoices[[#This Row],['#]],tab_budget[['#]:[Rozpočtová položka]],8,FALSE))</f>
        <v/>
      </c>
      <c r="P44" s="457" t="str">
        <f>IF(ISBLANK(tab_invoices[[#This Row],['#]]),"",VLOOKUP(tab_invoices[[#This Row],['#]],tab_budget[['#]:[Rozpočtová kapitola]],9,FALSE))</f>
        <v/>
      </c>
      <c r="Q44" s="457" t="str">
        <f>IF(ISBLANK(tab_invoices[[#This Row],['#]]),"",VLOOKUP(tab_invoices[[#This Row],['#]],tab_budget[['#]:[Realizuje]],10,FALSE))</f>
        <v/>
      </c>
      <c r="R44" s="457"/>
      <c r="S44" s="457"/>
    </row>
    <row r="45" spans="1:19" s="307" customFormat="1" ht="10.199999999999999" x14ac:dyDescent="0.2">
      <c r="A45" s="451">
        <f t="shared" si="1"/>
        <v>36</v>
      </c>
      <c r="B45" s="452"/>
      <c r="C45" s="453"/>
      <c r="D45" s="454"/>
      <c r="E45" s="454"/>
      <c r="F45" s="452"/>
      <c r="G45" s="455"/>
      <c r="H45" s="455"/>
      <c r="I45" s="452"/>
      <c r="J45" s="452"/>
      <c r="K45" s="291">
        <f>tab_invoices[[#This Row],[Množstvo]]*tab_invoices[[#This Row],[Náklady na jednotku]]</f>
        <v>0</v>
      </c>
      <c r="L45" s="454"/>
      <c r="M45" s="292" t="str">
        <f>IF(ISBLANK(tab_invoices[[#This Row],['#]]),"",VLOOKUP(tab_invoices[[#This Row],['#]],tab_budget[['#]:[Rozpočtová položka]],2,FALSE))</f>
        <v/>
      </c>
      <c r="N45" s="457" t="str">
        <f>IF(ISBLANK(tab_invoices[[#This Row],['#]]),"",VLOOKUP(tab_invoices[[#This Row],['#]],tab_budget[['#]:[Typ výdavku]],7,FALSE))</f>
        <v/>
      </c>
      <c r="O45" s="457" t="str">
        <f>IF(ISBLANK(tab_invoices[[#This Row],['#]]),"",VLOOKUP(tab_invoices[[#This Row],['#]],tab_budget[['#]:[Rozpočtová položka]],8,FALSE))</f>
        <v/>
      </c>
      <c r="P45" s="457" t="str">
        <f>IF(ISBLANK(tab_invoices[[#This Row],['#]]),"",VLOOKUP(tab_invoices[[#This Row],['#]],tab_budget[['#]:[Rozpočtová kapitola]],9,FALSE))</f>
        <v/>
      </c>
      <c r="Q45" s="457" t="str">
        <f>IF(ISBLANK(tab_invoices[[#This Row],['#]]),"",VLOOKUP(tab_invoices[[#This Row],['#]],tab_budget[['#]:[Realizuje]],10,FALSE))</f>
        <v/>
      </c>
      <c r="R45" s="457"/>
      <c r="S45" s="457"/>
    </row>
    <row r="46" spans="1:19" s="307" customFormat="1" ht="10.199999999999999" x14ac:dyDescent="0.2">
      <c r="A46" s="451">
        <f t="shared" si="1"/>
        <v>37</v>
      </c>
      <c r="B46" s="452"/>
      <c r="C46" s="453"/>
      <c r="D46" s="454"/>
      <c r="E46" s="454"/>
      <c r="F46" s="452"/>
      <c r="G46" s="455"/>
      <c r="H46" s="455"/>
      <c r="I46" s="452"/>
      <c r="J46" s="452"/>
      <c r="K46" s="291">
        <f>tab_invoices[[#This Row],[Množstvo]]*tab_invoices[[#This Row],[Náklady na jednotku]]</f>
        <v>0</v>
      </c>
      <c r="L46" s="454"/>
      <c r="M46" s="292" t="str">
        <f>IF(ISBLANK(tab_invoices[[#This Row],['#]]),"",VLOOKUP(tab_invoices[[#This Row],['#]],tab_budget[['#]:[Rozpočtová položka]],2,FALSE))</f>
        <v/>
      </c>
      <c r="N46" s="457" t="str">
        <f>IF(ISBLANK(tab_invoices[[#This Row],['#]]),"",VLOOKUP(tab_invoices[[#This Row],['#]],tab_budget[['#]:[Typ výdavku]],7,FALSE))</f>
        <v/>
      </c>
      <c r="O46" s="457" t="str">
        <f>IF(ISBLANK(tab_invoices[[#This Row],['#]]),"",VLOOKUP(tab_invoices[[#This Row],['#]],tab_budget[['#]:[Rozpočtová položka]],8,FALSE))</f>
        <v/>
      </c>
      <c r="P46" s="457" t="str">
        <f>IF(ISBLANK(tab_invoices[[#This Row],['#]]),"",VLOOKUP(tab_invoices[[#This Row],['#]],tab_budget[['#]:[Rozpočtová kapitola]],9,FALSE))</f>
        <v/>
      </c>
      <c r="Q46" s="457" t="str">
        <f>IF(ISBLANK(tab_invoices[[#This Row],['#]]),"",VLOOKUP(tab_invoices[[#This Row],['#]],tab_budget[['#]:[Realizuje]],10,FALSE))</f>
        <v/>
      </c>
      <c r="R46" s="457"/>
      <c r="S46" s="457"/>
    </row>
    <row r="47" spans="1:19" s="307" customFormat="1" ht="10.199999999999999" x14ac:dyDescent="0.2">
      <c r="A47" s="451">
        <f t="shared" si="1"/>
        <v>38</v>
      </c>
      <c r="B47" s="452"/>
      <c r="C47" s="453"/>
      <c r="D47" s="454"/>
      <c r="E47" s="454"/>
      <c r="F47" s="452"/>
      <c r="G47" s="455"/>
      <c r="H47" s="455"/>
      <c r="I47" s="452"/>
      <c r="J47" s="452"/>
      <c r="K47" s="291">
        <f>tab_invoices[[#This Row],[Množstvo]]*tab_invoices[[#This Row],[Náklady na jednotku]]</f>
        <v>0</v>
      </c>
      <c r="L47" s="454"/>
      <c r="M47" s="292" t="str">
        <f>IF(ISBLANK(tab_invoices[[#This Row],['#]]),"",VLOOKUP(tab_invoices[[#This Row],['#]],tab_budget[['#]:[Rozpočtová položka]],2,FALSE))</f>
        <v/>
      </c>
      <c r="N47" s="457" t="str">
        <f>IF(ISBLANK(tab_invoices[[#This Row],['#]]),"",VLOOKUP(tab_invoices[[#This Row],['#]],tab_budget[['#]:[Typ výdavku]],7,FALSE))</f>
        <v/>
      </c>
      <c r="O47" s="457" t="str">
        <f>IF(ISBLANK(tab_invoices[[#This Row],['#]]),"",VLOOKUP(tab_invoices[[#This Row],['#]],tab_budget[['#]:[Rozpočtová položka]],8,FALSE))</f>
        <v/>
      </c>
      <c r="P47" s="457" t="str">
        <f>IF(ISBLANK(tab_invoices[[#This Row],['#]]),"",VLOOKUP(tab_invoices[[#This Row],['#]],tab_budget[['#]:[Rozpočtová kapitola]],9,FALSE))</f>
        <v/>
      </c>
      <c r="Q47" s="457" t="str">
        <f>IF(ISBLANK(tab_invoices[[#This Row],['#]]),"",VLOOKUP(tab_invoices[[#This Row],['#]],tab_budget[['#]:[Realizuje]],10,FALSE))</f>
        <v/>
      </c>
      <c r="R47" s="457"/>
      <c r="S47" s="457"/>
    </row>
    <row r="48" spans="1:19" s="307" customFormat="1" ht="10.199999999999999" x14ac:dyDescent="0.2">
      <c r="A48" s="451">
        <f t="shared" si="1"/>
        <v>39</v>
      </c>
      <c r="B48" s="452"/>
      <c r="C48" s="453"/>
      <c r="D48" s="454"/>
      <c r="E48" s="454"/>
      <c r="F48" s="452"/>
      <c r="G48" s="455"/>
      <c r="H48" s="455"/>
      <c r="I48" s="452"/>
      <c r="J48" s="452"/>
      <c r="K48" s="291">
        <f>tab_invoices[[#This Row],[Množstvo]]*tab_invoices[[#This Row],[Náklady na jednotku]]</f>
        <v>0</v>
      </c>
      <c r="L48" s="454"/>
      <c r="M48" s="292" t="str">
        <f>IF(ISBLANK(tab_invoices[[#This Row],['#]]),"",VLOOKUP(tab_invoices[[#This Row],['#]],tab_budget[['#]:[Rozpočtová položka]],2,FALSE))</f>
        <v/>
      </c>
      <c r="N48" s="457" t="str">
        <f>IF(ISBLANK(tab_invoices[[#This Row],['#]]),"",VLOOKUP(tab_invoices[[#This Row],['#]],tab_budget[['#]:[Typ výdavku]],7,FALSE))</f>
        <v/>
      </c>
      <c r="O48" s="457" t="str">
        <f>IF(ISBLANK(tab_invoices[[#This Row],['#]]),"",VLOOKUP(tab_invoices[[#This Row],['#]],tab_budget[['#]:[Rozpočtová položka]],8,FALSE))</f>
        <v/>
      </c>
      <c r="P48" s="457" t="str">
        <f>IF(ISBLANK(tab_invoices[[#This Row],['#]]),"",VLOOKUP(tab_invoices[[#This Row],['#]],tab_budget[['#]:[Rozpočtová kapitola]],9,FALSE))</f>
        <v/>
      </c>
      <c r="Q48" s="457" t="str">
        <f>IF(ISBLANK(tab_invoices[[#This Row],['#]]),"",VLOOKUP(tab_invoices[[#This Row],['#]],tab_budget[['#]:[Realizuje]],10,FALSE))</f>
        <v/>
      </c>
      <c r="R48" s="457"/>
      <c r="S48" s="457"/>
    </row>
    <row r="49" spans="1:19" s="307" customFormat="1" ht="10.199999999999999" x14ac:dyDescent="0.2">
      <c r="A49" s="451">
        <f t="shared" si="1"/>
        <v>40</v>
      </c>
      <c r="B49" s="452"/>
      <c r="C49" s="453"/>
      <c r="D49" s="454"/>
      <c r="E49" s="454"/>
      <c r="F49" s="452"/>
      <c r="G49" s="455"/>
      <c r="H49" s="455"/>
      <c r="I49" s="452"/>
      <c r="J49" s="452"/>
      <c r="K49" s="291">
        <f>tab_invoices[[#This Row],[Množstvo]]*tab_invoices[[#This Row],[Náklady na jednotku]]</f>
        <v>0</v>
      </c>
      <c r="L49" s="454"/>
      <c r="M49" s="292" t="str">
        <f>IF(ISBLANK(tab_invoices[[#This Row],['#]]),"",VLOOKUP(tab_invoices[[#This Row],['#]],tab_budget[['#]:[Rozpočtová položka]],2,FALSE))</f>
        <v/>
      </c>
      <c r="N49" s="457" t="str">
        <f>IF(ISBLANK(tab_invoices[[#This Row],['#]]),"",VLOOKUP(tab_invoices[[#This Row],['#]],tab_budget[['#]:[Typ výdavku]],7,FALSE))</f>
        <v/>
      </c>
      <c r="O49" s="457" t="str">
        <f>IF(ISBLANK(tab_invoices[[#This Row],['#]]),"",VLOOKUP(tab_invoices[[#This Row],['#]],tab_budget[['#]:[Rozpočtová položka]],8,FALSE))</f>
        <v/>
      </c>
      <c r="P49" s="457" t="str">
        <f>IF(ISBLANK(tab_invoices[[#This Row],['#]]),"",VLOOKUP(tab_invoices[[#This Row],['#]],tab_budget[['#]:[Rozpočtová kapitola]],9,FALSE))</f>
        <v/>
      </c>
      <c r="Q49" s="457" t="str">
        <f>IF(ISBLANK(tab_invoices[[#This Row],['#]]),"",VLOOKUP(tab_invoices[[#This Row],['#]],tab_budget[['#]:[Realizuje]],10,FALSE))</f>
        <v/>
      </c>
      <c r="R49" s="457"/>
      <c r="S49" s="457"/>
    </row>
    <row r="50" spans="1:19" s="307" customFormat="1" ht="10.199999999999999" x14ac:dyDescent="0.2">
      <c r="A50" s="451">
        <f t="shared" si="1"/>
        <v>41</v>
      </c>
      <c r="B50" s="452"/>
      <c r="C50" s="453"/>
      <c r="D50" s="454"/>
      <c r="E50" s="454"/>
      <c r="F50" s="452"/>
      <c r="G50" s="455"/>
      <c r="H50" s="455"/>
      <c r="I50" s="452"/>
      <c r="J50" s="452"/>
      <c r="K50" s="291">
        <f>tab_invoices[[#This Row],[Množstvo]]*tab_invoices[[#This Row],[Náklady na jednotku]]</f>
        <v>0</v>
      </c>
      <c r="L50" s="454"/>
      <c r="M50" s="292" t="str">
        <f>IF(ISBLANK(tab_invoices[[#This Row],['#]]),"",VLOOKUP(tab_invoices[[#This Row],['#]],tab_budget[['#]:[Rozpočtová položka]],2,FALSE))</f>
        <v/>
      </c>
      <c r="N50" s="457" t="str">
        <f>IF(ISBLANK(tab_invoices[[#This Row],['#]]),"",VLOOKUP(tab_invoices[[#This Row],['#]],tab_budget[['#]:[Typ výdavku]],7,FALSE))</f>
        <v/>
      </c>
      <c r="O50" s="457" t="str">
        <f>IF(ISBLANK(tab_invoices[[#This Row],['#]]),"",VLOOKUP(tab_invoices[[#This Row],['#]],tab_budget[['#]:[Rozpočtová položka]],8,FALSE))</f>
        <v/>
      </c>
      <c r="P50" s="457" t="str">
        <f>IF(ISBLANK(tab_invoices[[#This Row],['#]]),"",VLOOKUP(tab_invoices[[#This Row],['#]],tab_budget[['#]:[Rozpočtová kapitola]],9,FALSE))</f>
        <v/>
      </c>
      <c r="Q50" s="457" t="str">
        <f>IF(ISBLANK(tab_invoices[[#This Row],['#]]),"",VLOOKUP(tab_invoices[[#This Row],['#]],tab_budget[['#]:[Realizuje]],10,FALSE))</f>
        <v/>
      </c>
      <c r="R50" s="457"/>
      <c r="S50" s="457"/>
    </row>
    <row r="51" spans="1:19" s="307" customFormat="1" ht="10.199999999999999" x14ac:dyDescent="0.2">
      <c r="A51" s="451">
        <f t="shared" si="1"/>
        <v>42</v>
      </c>
      <c r="B51" s="452"/>
      <c r="C51" s="453"/>
      <c r="D51" s="454"/>
      <c r="E51" s="454"/>
      <c r="F51" s="452"/>
      <c r="G51" s="455"/>
      <c r="H51" s="455"/>
      <c r="I51" s="452"/>
      <c r="J51" s="452"/>
      <c r="K51" s="291">
        <f>tab_invoices[[#This Row],[Množstvo]]*tab_invoices[[#This Row],[Náklady na jednotku]]</f>
        <v>0</v>
      </c>
      <c r="L51" s="454"/>
      <c r="M51" s="292" t="str">
        <f>IF(ISBLANK(tab_invoices[[#This Row],['#]]),"",VLOOKUP(tab_invoices[[#This Row],['#]],tab_budget[['#]:[Rozpočtová položka]],2,FALSE))</f>
        <v/>
      </c>
      <c r="N51" s="457" t="str">
        <f>IF(ISBLANK(tab_invoices[[#This Row],['#]]),"",VLOOKUP(tab_invoices[[#This Row],['#]],tab_budget[['#]:[Typ výdavku]],7,FALSE))</f>
        <v/>
      </c>
      <c r="O51" s="457" t="str">
        <f>IF(ISBLANK(tab_invoices[[#This Row],['#]]),"",VLOOKUP(tab_invoices[[#This Row],['#]],tab_budget[['#]:[Rozpočtová položka]],8,FALSE))</f>
        <v/>
      </c>
      <c r="P51" s="457" t="str">
        <f>IF(ISBLANK(tab_invoices[[#This Row],['#]]),"",VLOOKUP(tab_invoices[[#This Row],['#]],tab_budget[['#]:[Rozpočtová kapitola]],9,FALSE))</f>
        <v/>
      </c>
      <c r="Q51" s="457" t="str">
        <f>IF(ISBLANK(tab_invoices[[#This Row],['#]]),"",VLOOKUP(tab_invoices[[#This Row],['#]],tab_budget[['#]:[Realizuje]],10,FALSE))</f>
        <v/>
      </c>
      <c r="R51" s="457"/>
      <c r="S51" s="457"/>
    </row>
    <row r="52" spans="1:19" s="307" customFormat="1" ht="10.199999999999999" x14ac:dyDescent="0.2">
      <c r="A52" s="451">
        <f t="shared" si="1"/>
        <v>43</v>
      </c>
      <c r="B52" s="452"/>
      <c r="C52" s="453"/>
      <c r="D52" s="454"/>
      <c r="E52" s="454"/>
      <c r="F52" s="452"/>
      <c r="G52" s="455"/>
      <c r="H52" s="455"/>
      <c r="I52" s="452"/>
      <c r="J52" s="452"/>
      <c r="K52" s="291">
        <f>tab_invoices[[#This Row],[Množstvo]]*tab_invoices[[#This Row],[Náklady na jednotku]]</f>
        <v>0</v>
      </c>
      <c r="L52" s="454"/>
      <c r="M52" s="292" t="str">
        <f>IF(ISBLANK(tab_invoices[[#This Row],['#]]),"",VLOOKUP(tab_invoices[[#This Row],['#]],tab_budget[['#]:[Rozpočtová položka]],2,FALSE))</f>
        <v/>
      </c>
      <c r="N52" s="457" t="str">
        <f>IF(ISBLANK(tab_invoices[[#This Row],['#]]),"",VLOOKUP(tab_invoices[[#This Row],['#]],tab_budget[['#]:[Typ výdavku]],7,FALSE))</f>
        <v/>
      </c>
      <c r="O52" s="457" t="str">
        <f>IF(ISBLANK(tab_invoices[[#This Row],['#]]),"",VLOOKUP(tab_invoices[[#This Row],['#]],tab_budget[['#]:[Rozpočtová položka]],8,FALSE))</f>
        <v/>
      </c>
      <c r="P52" s="457" t="str">
        <f>IF(ISBLANK(tab_invoices[[#This Row],['#]]),"",VLOOKUP(tab_invoices[[#This Row],['#]],tab_budget[['#]:[Rozpočtová kapitola]],9,FALSE))</f>
        <v/>
      </c>
      <c r="Q52" s="457" t="str">
        <f>IF(ISBLANK(tab_invoices[[#This Row],['#]]),"",VLOOKUP(tab_invoices[[#This Row],['#]],tab_budget[['#]:[Realizuje]],10,FALSE))</f>
        <v/>
      </c>
      <c r="R52" s="457"/>
      <c r="S52" s="457"/>
    </row>
    <row r="53" spans="1:19" s="307" customFormat="1" ht="10.199999999999999" x14ac:dyDescent="0.2">
      <c r="A53" s="451">
        <f t="shared" si="1"/>
        <v>44</v>
      </c>
      <c r="B53" s="452"/>
      <c r="C53" s="453"/>
      <c r="D53" s="454"/>
      <c r="E53" s="454"/>
      <c r="F53" s="452"/>
      <c r="G53" s="455"/>
      <c r="H53" s="455"/>
      <c r="I53" s="452"/>
      <c r="J53" s="452"/>
      <c r="K53" s="291">
        <f>tab_invoices[[#This Row],[Množstvo]]*tab_invoices[[#This Row],[Náklady na jednotku]]</f>
        <v>0</v>
      </c>
      <c r="L53" s="454"/>
      <c r="M53" s="292" t="str">
        <f>IF(ISBLANK(tab_invoices[[#This Row],['#]]),"",VLOOKUP(tab_invoices[[#This Row],['#]],tab_budget[['#]:[Rozpočtová položka]],2,FALSE))</f>
        <v/>
      </c>
      <c r="N53" s="457" t="str">
        <f>IF(ISBLANK(tab_invoices[[#This Row],['#]]),"",VLOOKUP(tab_invoices[[#This Row],['#]],tab_budget[['#]:[Typ výdavku]],7,FALSE))</f>
        <v/>
      </c>
      <c r="O53" s="457" t="str">
        <f>IF(ISBLANK(tab_invoices[[#This Row],['#]]),"",VLOOKUP(tab_invoices[[#This Row],['#]],tab_budget[['#]:[Rozpočtová položka]],8,FALSE))</f>
        <v/>
      </c>
      <c r="P53" s="457" t="str">
        <f>IF(ISBLANK(tab_invoices[[#This Row],['#]]),"",VLOOKUP(tab_invoices[[#This Row],['#]],tab_budget[['#]:[Rozpočtová kapitola]],9,FALSE))</f>
        <v/>
      </c>
      <c r="Q53" s="457" t="str">
        <f>IF(ISBLANK(tab_invoices[[#This Row],['#]]),"",VLOOKUP(tab_invoices[[#This Row],['#]],tab_budget[['#]:[Realizuje]],10,FALSE))</f>
        <v/>
      </c>
      <c r="R53" s="457"/>
      <c r="S53" s="457"/>
    </row>
    <row r="54" spans="1:19" s="307" customFormat="1" ht="10.199999999999999" x14ac:dyDescent="0.2">
      <c r="A54" s="451">
        <f t="shared" si="1"/>
        <v>45</v>
      </c>
      <c r="B54" s="452"/>
      <c r="C54" s="453"/>
      <c r="D54" s="454"/>
      <c r="E54" s="454"/>
      <c r="F54" s="452"/>
      <c r="G54" s="455"/>
      <c r="H54" s="455"/>
      <c r="I54" s="452"/>
      <c r="J54" s="452"/>
      <c r="K54" s="291">
        <f>tab_invoices[[#This Row],[Množstvo]]*tab_invoices[[#This Row],[Náklady na jednotku]]</f>
        <v>0</v>
      </c>
      <c r="L54" s="454"/>
      <c r="M54" s="292" t="str">
        <f>IF(ISBLANK(tab_invoices[[#This Row],['#]]),"",VLOOKUP(tab_invoices[[#This Row],['#]],tab_budget[['#]:[Rozpočtová položka]],2,FALSE))</f>
        <v/>
      </c>
      <c r="N54" s="457" t="str">
        <f>IF(ISBLANK(tab_invoices[[#This Row],['#]]),"",VLOOKUP(tab_invoices[[#This Row],['#]],tab_budget[['#]:[Typ výdavku]],7,FALSE))</f>
        <v/>
      </c>
      <c r="O54" s="457" t="str">
        <f>IF(ISBLANK(tab_invoices[[#This Row],['#]]),"",VLOOKUP(tab_invoices[[#This Row],['#]],tab_budget[['#]:[Rozpočtová položka]],8,FALSE))</f>
        <v/>
      </c>
      <c r="P54" s="457" t="str">
        <f>IF(ISBLANK(tab_invoices[[#This Row],['#]]),"",VLOOKUP(tab_invoices[[#This Row],['#]],tab_budget[['#]:[Rozpočtová kapitola]],9,FALSE))</f>
        <v/>
      </c>
      <c r="Q54" s="457" t="str">
        <f>IF(ISBLANK(tab_invoices[[#This Row],['#]]),"",VLOOKUP(tab_invoices[[#This Row],['#]],tab_budget[['#]:[Realizuje]],10,FALSE))</f>
        <v/>
      </c>
      <c r="R54" s="457"/>
      <c r="S54" s="457"/>
    </row>
    <row r="55" spans="1:19" s="307" customFormat="1" ht="10.199999999999999" x14ac:dyDescent="0.2">
      <c r="A55" s="451">
        <f t="shared" si="1"/>
        <v>46</v>
      </c>
      <c r="B55" s="452"/>
      <c r="C55" s="453"/>
      <c r="D55" s="454"/>
      <c r="E55" s="454"/>
      <c r="F55" s="452"/>
      <c r="G55" s="455"/>
      <c r="H55" s="455"/>
      <c r="I55" s="452"/>
      <c r="J55" s="452"/>
      <c r="K55" s="291">
        <f>tab_invoices[[#This Row],[Množstvo]]*tab_invoices[[#This Row],[Náklady na jednotku]]</f>
        <v>0</v>
      </c>
      <c r="L55" s="454"/>
      <c r="M55" s="292" t="str">
        <f>IF(ISBLANK(tab_invoices[[#This Row],['#]]),"",VLOOKUP(tab_invoices[[#This Row],['#]],tab_budget[['#]:[Rozpočtová položka]],2,FALSE))</f>
        <v/>
      </c>
      <c r="N55" s="457" t="str">
        <f>IF(ISBLANK(tab_invoices[[#This Row],['#]]),"",VLOOKUP(tab_invoices[[#This Row],['#]],tab_budget[['#]:[Typ výdavku]],7,FALSE))</f>
        <v/>
      </c>
      <c r="O55" s="457" t="str">
        <f>IF(ISBLANK(tab_invoices[[#This Row],['#]]),"",VLOOKUP(tab_invoices[[#This Row],['#]],tab_budget[['#]:[Rozpočtová položka]],8,FALSE))</f>
        <v/>
      </c>
      <c r="P55" s="457" t="str">
        <f>IF(ISBLANK(tab_invoices[[#This Row],['#]]),"",VLOOKUP(tab_invoices[[#This Row],['#]],tab_budget[['#]:[Rozpočtová kapitola]],9,FALSE))</f>
        <v/>
      </c>
      <c r="Q55" s="457" t="str">
        <f>IF(ISBLANK(tab_invoices[[#This Row],['#]]),"",VLOOKUP(tab_invoices[[#This Row],['#]],tab_budget[['#]:[Realizuje]],10,FALSE))</f>
        <v/>
      </c>
      <c r="R55" s="457"/>
      <c r="S55" s="457"/>
    </row>
    <row r="56" spans="1:19" s="307" customFormat="1" ht="10.199999999999999" x14ac:dyDescent="0.2">
      <c r="A56" s="451">
        <f t="shared" si="1"/>
        <v>47</v>
      </c>
      <c r="B56" s="452"/>
      <c r="C56" s="453"/>
      <c r="D56" s="454"/>
      <c r="E56" s="454"/>
      <c r="F56" s="452"/>
      <c r="G56" s="455"/>
      <c r="H56" s="455"/>
      <c r="I56" s="452"/>
      <c r="J56" s="452"/>
      <c r="K56" s="291">
        <f>tab_invoices[[#This Row],[Množstvo]]*tab_invoices[[#This Row],[Náklady na jednotku]]</f>
        <v>0</v>
      </c>
      <c r="L56" s="454"/>
      <c r="M56" s="292" t="str">
        <f>IF(ISBLANK(tab_invoices[[#This Row],['#]]),"",VLOOKUP(tab_invoices[[#This Row],['#]],tab_budget[['#]:[Rozpočtová položka]],2,FALSE))</f>
        <v/>
      </c>
      <c r="N56" s="457" t="str">
        <f>IF(ISBLANK(tab_invoices[[#This Row],['#]]),"",VLOOKUP(tab_invoices[[#This Row],['#]],tab_budget[['#]:[Typ výdavku]],7,FALSE))</f>
        <v/>
      </c>
      <c r="O56" s="457" t="str">
        <f>IF(ISBLANK(tab_invoices[[#This Row],['#]]),"",VLOOKUP(tab_invoices[[#This Row],['#]],tab_budget[['#]:[Rozpočtová položka]],8,FALSE))</f>
        <v/>
      </c>
      <c r="P56" s="457" t="str">
        <f>IF(ISBLANK(tab_invoices[[#This Row],['#]]),"",VLOOKUP(tab_invoices[[#This Row],['#]],tab_budget[['#]:[Rozpočtová kapitola]],9,FALSE))</f>
        <v/>
      </c>
      <c r="Q56" s="457" t="str">
        <f>IF(ISBLANK(tab_invoices[[#This Row],['#]]),"",VLOOKUP(tab_invoices[[#This Row],['#]],tab_budget[['#]:[Realizuje]],10,FALSE))</f>
        <v/>
      </c>
      <c r="R56" s="457"/>
      <c r="S56" s="457"/>
    </row>
    <row r="57" spans="1:19" s="307" customFormat="1" ht="10.199999999999999" x14ac:dyDescent="0.2">
      <c r="A57" s="451">
        <f t="shared" si="1"/>
        <v>48</v>
      </c>
      <c r="B57" s="452"/>
      <c r="C57" s="453"/>
      <c r="D57" s="454"/>
      <c r="E57" s="454"/>
      <c r="F57" s="452"/>
      <c r="G57" s="455"/>
      <c r="H57" s="455"/>
      <c r="I57" s="452"/>
      <c r="J57" s="452"/>
      <c r="K57" s="291">
        <f>tab_invoices[[#This Row],[Množstvo]]*tab_invoices[[#This Row],[Náklady na jednotku]]</f>
        <v>0</v>
      </c>
      <c r="L57" s="454"/>
      <c r="M57" s="292" t="str">
        <f>IF(ISBLANK(tab_invoices[[#This Row],['#]]),"",VLOOKUP(tab_invoices[[#This Row],['#]],tab_budget[['#]:[Rozpočtová položka]],2,FALSE))</f>
        <v/>
      </c>
      <c r="N57" s="457" t="str">
        <f>IF(ISBLANK(tab_invoices[[#This Row],['#]]),"",VLOOKUP(tab_invoices[[#This Row],['#]],tab_budget[['#]:[Typ výdavku]],7,FALSE))</f>
        <v/>
      </c>
      <c r="O57" s="457" t="str">
        <f>IF(ISBLANK(tab_invoices[[#This Row],['#]]),"",VLOOKUP(tab_invoices[[#This Row],['#]],tab_budget[['#]:[Rozpočtová položka]],8,FALSE))</f>
        <v/>
      </c>
      <c r="P57" s="457" t="str">
        <f>IF(ISBLANK(tab_invoices[[#This Row],['#]]),"",VLOOKUP(tab_invoices[[#This Row],['#]],tab_budget[['#]:[Rozpočtová kapitola]],9,FALSE))</f>
        <v/>
      </c>
      <c r="Q57" s="457" t="str">
        <f>IF(ISBLANK(tab_invoices[[#This Row],['#]]),"",VLOOKUP(tab_invoices[[#This Row],['#]],tab_budget[['#]:[Realizuje]],10,FALSE))</f>
        <v/>
      </c>
      <c r="R57" s="457"/>
      <c r="S57" s="457"/>
    </row>
    <row r="58" spans="1:19" s="307" customFormat="1" ht="10.199999999999999" x14ac:dyDescent="0.2">
      <c r="A58" s="451">
        <f t="shared" si="1"/>
        <v>49</v>
      </c>
      <c r="B58" s="452"/>
      <c r="C58" s="453"/>
      <c r="D58" s="454"/>
      <c r="E58" s="454"/>
      <c r="F58" s="452"/>
      <c r="G58" s="455"/>
      <c r="H58" s="455"/>
      <c r="I58" s="452"/>
      <c r="J58" s="452"/>
      <c r="K58" s="291">
        <f>tab_invoices[[#This Row],[Množstvo]]*tab_invoices[[#This Row],[Náklady na jednotku]]</f>
        <v>0</v>
      </c>
      <c r="L58" s="454"/>
      <c r="M58" s="292" t="str">
        <f>IF(ISBLANK(tab_invoices[[#This Row],['#]]),"",VLOOKUP(tab_invoices[[#This Row],['#]],tab_budget[['#]:[Rozpočtová položka]],2,FALSE))</f>
        <v/>
      </c>
      <c r="N58" s="457" t="str">
        <f>IF(ISBLANK(tab_invoices[[#This Row],['#]]),"",VLOOKUP(tab_invoices[[#This Row],['#]],tab_budget[['#]:[Typ výdavku]],7,FALSE))</f>
        <v/>
      </c>
      <c r="O58" s="457" t="str">
        <f>IF(ISBLANK(tab_invoices[[#This Row],['#]]),"",VLOOKUP(tab_invoices[[#This Row],['#]],tab_budget[['#]:[Rozpočtová položka]],8,FALSE))</f>
        <v/>
      </c>
      <c r="P58" s="457" t="str">
        <f>IF(ISBLANK(tab_invoices[[#This Row],['#]]),"",VLOOKUP(tab_invoices[[#This Row],['#]],tab_budget[['#]:[Rozpočtová kapitola]],9,FALSE))</f>
        <v/>
      </c>
      <c r="Q58" s="457" t="str">
        <f>IF(ISBLANK(tab_invoices[[#This Row],['#]]),"",VLOOKUP(tab_invoices[[#This Row],['#]],tab_budget[['#]:[Realizuje]],10,FALSE))</f>
        <v/>
      </c>
      <c r="R58" s="457"/>
      <c r="S58" s="457"/>
    </row>
    <row r="59" spans="1:19" s="307" customFormat="1" ht="10.199999999999999" x14ac:dyDescent="0.2">
      <c r="A59" s="451">
        <f t="shared" si="1"/>
        <v>50</v>
      </c>
      <c r="B59" s="452"/>
      <c r="C59" s="453"/>
      <c r="D59" s="454"/>
      <c r="E59" s="454"/>
      <c r="F59" s="452"/>
      <c r="G59" s="455"/>
      <c r="H59" s="455"/>
      <c r="I59" s="452"/>
      <c r="J59" s="452"/>
      <c r="K59" s="291">
        <f>tab_invoices[[#This Row],[Množstvo]]*tab_invoices[[#This Row],[Náklady na jednotku]]</f>
        <v>0</v>
      </c>
      <c r="L59" s="454"/>
      <c r="M59" s="292" t="str">
        <f>IF(ISBLANK(tab_invoices[[#This Row],['#]]),"",VLOOKUP(tab_invoices[[#This Row],['#]],tab_budget[['#]:[Rozpočtová položka]],2,FALSE))</f>
        <v/>
      </c>
      <c r="N59" s="457" t="str">
        <f>IF(ISBLANK(tab_invoices[[#This Row],['#]]),"",VLOOKUP(tab_invoices[[#This Row],['#]],tab_budget[['#]:[Typ výdavku]],7,FALSE))</f>
        <v/>
      </c>
      <c r="O59" s="457" t="str">
        <f>IF(ISBLANK(tab_invoices[[#This Row],['#]]),"",VLOOKUP(tab_invoices[[#This Row],['#]],tab_budget[['#]:[Rozpočtová položka]],8,FALSE))</f>
        <v/>
      </c>
      <c r="P59" s="457" t="str">
        <f>IF(ISBLANK(tab_invoices[[#This Row],['#]]),"",VLOOKUP(tab_invoices[[#This Row],['#]],tab_budget[['#]:[Rozpočtová kapitola]],9,FALSE))</f>
        <v/>
      </c>
      <c r="Q59" s="457" t="str">
        <f>IF(ISBLANK(tab_invoices[[#This Row],['#]]),"",VLOOKUP(tab_invoices[[#This Row],['#]],tab_budget[['#]:[Realizuje]],10,FALSE))</f>
        <v/>
      </c>
      <c r="R59" s="457"/>
      <c r="S59" s="457"/>
    </row>
    <row r="60" spans="1:19" s="307" customFormat="1" ht="10.199999999999999" x14ac:dyDescent="0.2">
      <c r="A60" s="451">
        <f t="shared" si="1"/>
        <v>51</v>
      </c>
      <c r="B60" s="452"/>
      <c r="C60" s="453"/>
      <c r="D60" s="454"/>
      <c r="E60" s="454"/>
      <c r="F60" s="452"/>
      <c r="G60" s="455"/>
      <c r="H60" s="455"/>
      <c r="I60" s="452"/>
      <c r="J60" s="452"/>
      <c r="K60" s="291">
        <f>tab_invoices[[#This Row],[Množstvo]]*tab_invoices[[#This Row],[Náklady na jednotku]]</f>
        <v>0</v>
      </c>
      <c r="L60" s="454"/>
      <c r="M60" s="292" t="str">
        <f>IF(ISBLANK(tab_invoices[[#This Row],['#]]),"",VLOOKUP(tab_invoices[[#This Row],['#]],tab_budget[['#]:[Rozpočtová položka]],2,FALSE))</f>
        <v/>
      </c>
      <c r="N60" s="457" t="str">
        <f>IF(ISBLANK(tab_invoices[[#This Row],['#]]),"",VLOOKUP(tab_invoices[[#This Row],['#]],tab_budget[['#]:[Typ výdavku]],7,FALSE))</f>
        <v/>
      </c>
      <c r="O60" s="457" t="str">
        <f>IF(ISBLANK(tab_invoices[[#This Row],['#]]),"",VLOOKUP(tab_invoices[[#This Row],['#]],tab_budget[['#]:[Rozpočtová položka]],8,FALSE))</f>
        <v/>
      </c>
      <c r="P60" s="457" t="str">
        <f>IF(ISBLANK(tab_invoices[[#This Row],['#]]),"",VLOOKUP(tab_invoices[[#This Row],['#]],tab_budget[['#]:[Rozpočtová kapitola]],9,FALSE))</f>
        <v/>
      </c>
      <c r="Q60" s="457" t="str">
        <f>IF(ISBLANK(tab_invoices[[#This Row],['#]]),"",VLOOKUP(tab_invoices[[#This Row],['#]],tab_budget[['#]:[Realizuje]],10,FALSE))</f>
        <v/>
      </c>
      <c r="R60" s="457"/>
      <c r="S60" s="457"/>
    </row>
    <row r="61" spans="1:19" s="307" customFormat="1" ht="10.199999999999999" x14ac:dyDescent="0.2">
      <c r="A61" s="451">
        <f t="shared" si="1"/>
        <v>52</v>
      </c>
      <c r="B61" s="452"/>
      <c r="C61" s="453"/>
      <c r="D61" s="454"/>
      <c r="E61" s="454"/>
      <c r="F61" s="452"/>
      <c r="G61" s="455"/>
      <c r="H61" s="455"/>
      <c r="I61" s="452"/>
      <c r="J61" s="452"/>
      <c r="K61" s="291">
        <f>tab_invoices[[#This Row],[Množstvo]]*tab_invoices[[#This Row],[Náklady na jednotku]]</f>
        <v>0</v>
      </c>
      <c r="L61" s="454"/>
      <c r="M61" s="292" t="str">
        <f>IF(ISBLANK(tab_invoices[[#This Row],['#]]),"",VLOOKUP(tab_invoices[[#This Row],['#]],tab_budget[['#]:[Rozpočtová položka]],2,FALSE))</f>
        <v/>
      </c>
      <c r="N61" s="457" t="str">
        <f>IF(ISBLANK(tab_invoices[[#This Row],['#]]),"",VLOOKUP(tab_invoices[[#This Row],['#]],tab_budget[['#]:[Typ výdavku]],7,FALSE))</f>
        <v/>
      </c>
      <c r="O61" s="457" t="str">
        <f>IF(ISBLANK(tab_invoices[[#This Row],['#]]),"",VLOOKUP(tab_invoices[[#This Row],['#]],tab_budget[['#]:[Rozpočtová položka]],8,FALSE))</f>
        <v/>
      </c>
      <c r="P61" s="457" t="str">
        <f>IF(ISBLANK(tab_invoices[[#This Row],['#]]),"",VLOOKUP(tab_invoices[[#This Row],['#]],tab_budget[['#]:[Rozpočtová kapitola]],9,FALSE))</f>
        <v/>
      </c>
      <c r="Q61" s="457" t="str">
        <f>IF(ISBLANK(tab_invoices[[#This Row],['#]]),"",VLOOKUP(tab_invoices[[#This Row],['#]],tab_budget[['#]:[Realizuje]],10,FALSE))</f>
        <v/>
      </c>
      <c r="R61" s="457"/>
      <c r="S61" s="457"/>
    </row>
    <row r="62" spans="1:19" s="307" customFormat="1" ht="10.199999999999999" x14ac:dyDescent="0.2">
      <c r="A62" s="451">
        <f t="shared" si="1"/>
        <v>53</v>
      </c>
      <c r="B62" s="452"/>
      <c r="C62" s="453"/>
      <c r="D62" s="454"/>
      <c r="E62" s="454"/>
      <c r="F62" s="452"/>
      <c r="G62" s="455"/>
      <c r="H62" s="455"/>
      <c r="I62" s="452"/>
      <c r="J62" s="452"/>
      <c r="K62" s="291">
        <f>tab_invoices[[#This Row],[Množstvo]]*tab_invoices[[#This Row],[Náklady na jednotku]]</f>
        <v>0</v>
      </c>
      <c r="L62" s="454"/>
      <c r="M62" s="292" t="str">
        <f>IF(ISBLANK(tab_invoices[[#This Row],['#]]),"",VLOOKUP(tab_invoices[[#This Row],['#]],tab_budget[['#]:[Rozpočtová položka]],2,FALSE))</f>
        <v/>
      </c>
      <c r="N62" s="457" t="str">
        <f>IF(ISBLANK(tab_invoices[[#This Row],['#]]),"",VLOOKUP(tab_invoices[[#This Row],['#]],tab_budget[['#]:[Typ výdavku]],7,FALSE))</f>
        <v/>
      </c>
      <c r="O62" s="457" t="str">
        <f>IF(ISBLANK(tab_invoices[[#This Row],['#]]),"",VLOOKUP(tab_invoices[[#This Row],['#]],tab_budget[['#]:[Rozpočtová položka]],8,FALSE))</f>
        <v/>
      </c>
      <c r="P62" s="457" t="str">
        <f>IF(ISBLANK(tab_invoices[[#This Row],['#]]),"",VLOOKUP(tab_invoices[[#This Row],['#]],tab_budget[['#]:[Rozpočtová kapitola]],9,FALSE))</f>
        <v/>
      </c>
      <c r="Q62" s="457" t="str">
        <f>IF(ISBLANK(tab_invoices[[#This Row],['#]]),"",VLOOKUP(tab_invoices[[#This Row],['#]],tab_budget[['#]:[Realizuje]],10,FALSE))</f>
        <v/>
      </c>
      <c r="R62" s="457"/>
      <c r="S62" s="457"/>
    </row>
    <row r="63" spans="1:19" s="307" customFormat="1" ht="10.199999999999999" x14ac:dyDescent="0.2">
      <c r="A63" s="451">
        <f t="shared" si="1"/>
        <v>54</v>
      </c>
      <c r="B63" s="452"/>
      <c r="C63" s="453"/>
      <c r="D63" s="454"/>
      <c r="E63" s="454"/>
      <c r="F63" s="452"/>
      <c r="G63" s="455"/>
      <c r="H63" s="455"/>
      <c r="I63" s="452"/>
      <c r="J63" s="452"/>
      <c r="K63" s="291">
        <f>tab_invoices[[#This Row],[Množstvo]]*tab_invoices[[#This Row],[Náklady na jednotku]]</f>
        <v>0</v>
      </c>
      <c r="L63" s="454"/>
      <c r="M63" s="292" t="str">
        <f>IF(ISBLANK(tab_invoices[[#This Row],['#]]),"",VLOOKUP(tab_invoices[[#This Row],['#]],tab_budget[['#]:[Rozpočtová položka]],2,FALSE))</f>
        <v/>
      </c>
      <c r="N63" s="457" t="str">
        <f>IF(ISBLANK(tab_invoices[[#This Row],['#]]),"",VLOOKUP(tab_invoices[[#This Row],['#]],tab_budget[['#]:[Typ výdavku]],7,FALSE))</f>
        <v/>
      </c>
      <c r="O63" s="457" t="str">
        <f>IF(ISBLANK(tab_invoices[[#This Row],['#]]),"",VLOOKUP(tab_invoices[[#This Row],['#]],tab_budget[['#]:[Rozpočtová položka]],8,FALSE))</f>
        <v/>
      </c>
      <c r="P63" s="457" t="str">
        <f>IF(ISBLANK(tab_invoices[[#This Row],['#]]),"",VLOOKUP(tab_invoices[[#This Row],['#]],tab_budget[['#]:[Rozpočtová kapitola]],9,FALSE))</f>
        <v/>
      </c>
      <c r="Q63" s="457" t="str">
        <f>IF(ISBLANK(tab_invoices[[#This Row],['#]]),"",VLOOKUP(tab_invoices[[#This Row],['#]],tab_budget[['#]:[Realizuje]],10,FALSE))</f>
        <v/>
      </c>
      <c r="R63" s="457"/>
      <c r="S63" s="457"/>
    </row>
    <row r="64" spans="1:19" s="307" customFormat="1" ht="10.199999999999999" x14ac:dyDescent="0.2">
      <c r="A64" s="451">
        <f t="shared" si="1"/>
        <v>55</v>
      </c>
      <c r="B64" s="452"/>
      <c r="C64" s="453"/>
      <c r="D64" s="454"/>
      <c r="E64" s="454"/>
      <c r="F64" s="452"/>
      <c r="G64" s="455"/>
      <c r="H64" s="455"/>
      <c r="I64" s="452"/>
      <c r="J64" s="452"/>
      <c r="K64" s="291">
        <f>tab_invoices[[#This Row],[Množstvo]]*tab_invoices[[#This Row],[Náklady na jednotku]]</f>
        <v>0</v>
      </c>
      <c r="L64" s="454"/>
      <c r="M64" s="292" t="str">
        <f>IF(ISBLANK(tab_invoices[[#This Row],['#]]),"",VLOOKUP(tab_invoices[[#This Row],['#]],tab_budget[['#]:[Rozpočtová položka]],2,FALSE))</f>
        <v/>
      </c>
      <c r="N64" s="457" t="str">
        <f>IF(ISBLANK(tab_invoices[[#This Row],['#]]),"",VLOOKUP(tab_invoices[[#This Row],['#]],tab_budget[['#]:[Typ výdavku]],7,FALSE))</f>
        <v/>
      </c>
      <c r="O64" s="457" t="str">
        <f>IF(ISBLANK(tab_invoices[[#This Row],['#]]),"",VLOOKUP(tab_invoices[[#This Row],['#]],tab_budget[['#]:[Rozpočtová položka]],8,FALSE))</f>
        <v/>
      </c>
      <c r="P64" s="457" t="str">
        <f>IF(ISBLANK(tab_invoices[[#This Row],['#]]),"",VLOOKUP(tab_invoices[[#This Row],['#]],tab_budget[['#]:[Rozpočtová kapitola]],9,FALSE))</f>
        <v/>
      </c>
      <c r="Q64" s="457" t="str">
        <f>IF(ISBLANK(tab_invoices[[#This Row],['#]]),"",VLOOKUP(tab_invoices[[#This Row],['#]],tab_budget[['#]:[Realizuje]],10,FALSE))</f>
        <v/>
      </c>
      <c r="R64" s="457"/>
      <c r="S64" s="457"/>
    </row>
    <row r="65" spans="1:19" s="307" customFormat="1" ht="10.199999999999999" x14ac:dyDescent="0.2">
      <c r="A65" s="451">
        <f t="shared" si="1"/>
        <v>56</v>
      </c>
      <c r="B65" s="452"/>
      <c r="C65" s="453"/>
      <c r="D65" s="454"/>
      <c r="E65" s="454"/>
      <c r="F65" s="452"/>
      <c r="G65" s="455"/>
      <c r="H65" s="455"/>
      <c r="I65" s="452"/>
      <c r="J65" s="452"/>
      <c r="K65" s="291">
        <f>tab_invoices[[#This Row],[Množstvo]]*tab_invoices[[#This Row],[Náklady na jednotku]]</f>
        <v>0</v>
      </c>
      <c r="L65" s="454"/>
      <c r="M65" s="292" t="str">
        <f>IF(ISBLANK(tab_invoices[[#This Row],['#]]),"",VLOOKUP(tab_invoices[[#This Row],['#]],tab_budget[['#]:[Rozpočtová položka]],2,FALSE))</f>
        <v/>
      </c>
      <c r="N65" s="457" t="str">
        <f>IF(ISBLANK(tab_invoices[[#This Row],['#]]),"",VLOOKUP(tab_invoices[[#This Row],['#]],tab_budget[['#]:[Typ výdavku]],7,FALSE))</f>
        <v/>
      </c>
      <c r="O65" s="457" t="str">
        <f>IF(ISBLANK(tab_invoices[[#This Row],['#]]),"",VLOOKUP(tab_invoices[[#This Row],['#]],tab_budget[['#]:[Rozpočtová položka]],8,FALSE))</f>
        <v/>
      </c>
      <c r="P65" s="457" t="str">
        <f>IF(ISBLANK(tab_invoices[[#This Row],['#]]),"",VLOOKUP(tab_invoices[[#This Row],['#]],tab_budget[['#]:[Rozpočtová kapitola]],9,FALSE))</f>
        <v/>
      </c>
      <c r="Q65" s="457" t="str">
        <f>IF(ISBLANK(tab_invoices[[#This Row],['#]]),"",VLOOKUP(tab_invoices[[#This Row],['#]],tab_budget[['#]:[Realizuje]],10,FALSE))</f>
        <v/>
      </c>
      <c r="R65" s="457"/>
      <c r="S65" s="457"/>
    </row>
    <row r="66" spans="1:19" s="307" customFormat="1" ht="10.199999999999999" x14ac:dyDescent="0.2">
      <c r="A66" s="451">
        <f t="shared" si="1"/>
        <v>57</v>
      </c>
      <c r="B66" s="452"/>
      <c r="C66" s="453"/>
      <c r="D66" s="454"/>
      <c r="E66" s="454"/>
      <c r="F66" s="452"/>
      <c r="G66" s="455"/>
      <c r="H66" s="455"/>
      <c r="I66" s="452"/>
      <c r="J66" s="452"/>
      <c r="K66" s="291">
        <f>tab_invoices[[#This Row],[Množstvo]]*tab_invoices[[#This Row],[Náklady na jednotku]]</f>
        <v>0</v>
      </c>
      <c r="L66" s="454"/>
      <c r="M66" s="292" t="str">
        <f>IF(ISBLANK(tab_invoices[[#This Row],['#]]),"",VLOOKUP(tab_invoices[[#This Row],['#]],tab_budget[['#]:[Rozpočtová položka]],2,FALSE))</f>
        <v/>
      </c>
      <c r="N66" s="457" t="str">
        <f>IF(ISBLANK(tab_invoices[[#This Row],['#]]),"",VLOOKUP(tab_invoices[[#This Row],['#]],tab_budget[['#]:[Typ výdavku]],7,FALSE))</f>
        <v/>
      </c>
      <c r="O66" s="457" t="str">
        <f>IF(ISBLANK(tab_invoices[[#This Row],['#]]),"",VLOOKUP(tab_invoices[[#This Row],['#]],tab_budget[['#]:[Rozpočtová položka]],8,FALSE))</f>
        <v/>
      </c>
      <c r="P66" s="457" t="str">
        <f>IF(ISBLANK(tab_invoices[[#This Row],['#]]),"",VLOOKUP(tab_invoices[[#This Row],['#]],tab_budget[['#]:[Rozpočtová kapitola]],9,FALSE))</f>
        <v/>
      </c>
      <c r="Q66" s="457" t="str">
        <f>IF(ISBLANK(tab_invoices[[#This Row],['#]]),"",VLOOKUP(tab_invoices[[#This Row],['#]],tab_budget[['#]:[Realizuje]],10,FALSE))</f>
        <v/>
      </c>
      <c r="R66" s="457"/>
      <c r="S66" s="457"/>
    </row>
    <row r="67" spans="1:19" s="307" customFormat="1" ht="10.199999999999999" x14ac:dyDescent="0.2">
      <c r="A67" s="451">
        <f t="shared" si="1"/>
        <v>58</v>
      </c>
      <c r="B67" s="452"/>
      <c r="C67" s="453"/>
      <c r="D67" s="454"/>
      <c r="E67" s="454"/>
      <c r="F67" s="452"/>
      <c r="G67" s="455"/>
      <c r="H67" s="455"/>
      <c r="I67" s="452"/>
      <c r="J67" s="452"/>
      <c r="K67" s="291">
        <f>tab_invoices[[#This Row],[Množstvo]]*tab_invoices[[#This Row],[Náklady na jednotku]]</f>
        <v>0</v>
      </c>
      <c r="L67" s="454"/>
      <c r="M67" s="292" t="str">
        <f>IF(ISBLANK(tab_invoices[[#This Row],['#]]),"",VLOOKUP(tab_invoices[[#This Row],['#]],tab_budget[['#]:[Rozpočtová položka]],2,FALSE))</f>
        <v/>
      </c>
      <c r="N67" s="457" t="str">
        <f>IF(ISBLANK(tab_invoices[[#This Row],['#]]),"",VLOOKUP(tab_invoices[[#This Row],['#]],tab_budget[['#]:[Typ výdavku]],7,FALSE))</f>
        <v/>
      </c>
      <c r="O67" s="457" t="str">
        <f>IF(ISBLANK(tab_invoices[[#This Row],['#]]),"",VLOOKUP(tab_invoices[[#This Row],['#]],tab_budget[['#]:[Rozpočtová položka]],8,FALSE))</f>
        <v/>
      </c>
      <c r="P67" s="457" t="str">
        <f>IF(ISBLANK(tab_invoices[[#This Row],['#]]),"",VLOOKUP(tab_invoices[[#This Row],['#]],tab_budget[['#]:[Rozpočtová kapitola]],9,FALSE))</f>
        <v/>
      </c>
      <c r="Q67" s="457" t="str">
        <f>IF(ISBLANK(tab_invoices[[#This Row],['#]]),"",VLOOKUP(tab_invoices[[#This Row],['#]],tab_budget[['#]:[Realizuje]],10,FALSE))</f>
        <v/>
      </c>
      <c r="R67" s="457"/>
      <c r="S67" s="457"/>
    </row>
    <row r="68" spans="1:19" s="307" customFormat="1" ht="10.199999999999999" x14ac:dyDescent="0.2">
      <c r="A68" s="451">
        <f t="shared" si="1"/>
        <v>59</v>
      </c>
      <c r="B68" s="452"/>
      <c r="C68" s="453"/>
      <c r="D68" s="454"/>
      <c r="E68" s="454"/>
      <c r="F68" s="452"/>
      <c r="G68" s="455"/>
      <c r="H68" s="455"/>
      <c r="I68" s="452"/>
      <c r="J68" s="452"/>
      <c r="K68" s="291">
        <f>tab_invoices[[#This Row],[Množstvo]]*tab_invoices[[#This Row],[Náklady na jednotku]]</f>
        <v>0</v>
      </c>
      <c r="L68" s="454"/>
      <c r="M68" s="292" t="str">
        <f>IF(ISBLANK(tab_invoices[[#This Row],['#]]),"",VLOOKUP(tab_invoices[[#This Row],['#]],tab_budget[['#]:[Rozpočtová položka]],2,FALSE))</f>
        <v/>
      </c>
      <c r="N68" s="457" t="str">
        <f>IF(ISBLANK(tab_invoices[[#This Row],['#]]),"",VLOOKUP(tab_invoices[[#This Row],['#]],tab_budget[['#]:[Typ výdavku]],7,FALSE))</f>
        <v/>
      </c>
      <c r="O68" s="457" t="str">
        <f>IF(ISBLANK(tab_invoices[[#This Row],['#]]),"",VLOOKUP(tab_invoices[[#This Row],['#]],tab_budget[['#]:[Rozpočtová položka]],8,FALSE))</f>
        <v/>
      </c>
      <c r="P68" s="457" t="str">
        <f>IF(ISBLANK(tab_invoices[[#This Row],['#]]),"",VLOOKUP(tab_invoices[[#This Row],['#]],tab_budget[['#]:[Rozpočtová kapitola]],9,FALSE))</f>
        <v/>
      </c>
      <c r="Q68" s="457" t="str">
        <f>IF(ISBLANK(tab_invoices[[#This Row],['#]]),"",VLOOKUP(tab_invoices[[#This Row],['#]],tab_budget[['#]:[Realizuje]],10,FALSE))</f>
        <v/>
      </c>
      <c r="R68" s="457"/>
      <c r="S68" s="457"/>
    </row>
    <row r="69" spans="1:19" s="307" customFormat="1" ht="10.199999999999999" x14ac:dyDescent="0.2">
      <c r="A69" s="451">
        <f t="shared" si="1"/>
        <v>60</v>
      </c>
      <c r="B69" s="452"/>
      <c r="C69" s="453"/>
      <c r="D69" s="454"/>
      <c r="E69" s="454"/>
      <c r="F69" s="452"/>
      <c r="G69" s="455"/>
      <c r="H69" s="455"/>
      <c r="I69" s="452"/>
      <c r="J69" s="452"/>
      <c r="K69" s="291">
        <f>tab_invoices[[#This Row],[Množstvo]]*tab_invoices[[#This Row],[Náklady na jednotku]]</f>
        <v>0</v>
      </c>
      <c r="L69" s="454"/>
      <c r="M69" s="292" t="str">
        <f>IF(ISBLANK(tab_invoices[[#This Row],['#]]),"",VLOOKUP(tab_invoices[[#This Row],['#]],tab_budget[['#]:[Rozpočtová položka]],2,FALSE))</f>
        <v/>
      </c>
      <c r="N69" s="457" t="str">
        <f>IF(ISBLANK(tab_invoices[[#This Row],['#]]),"",VLOOKUP(tab_invoices[[#This Row],['#]],tab_budget[['#]:[Typ výdavku]],7,FALSE))</f>
        <v/>
      </c>
      <c r="O69" s="457" t="str">
        <f>IF(ISBLANK(tab_invoices[[#This Row],['#]]),"",VLOOKUP(tab_invoices[[#This Row],['#]],tab_budget[['#]:[Rozpočtová položka]],8,FALSE))</f>
        <v/>
      </c>
      <c r="P69" s="457" t="str">
        <f>IF(ISBLANK(tab_invoices[[#This Row],['#]]),"",VLOOKUP(tab_invoices[[#This Row],['#]],tab_budget[['#]:[Rozpočtová kapitola]],9,FALSE))</f>
        <v/>
      </c>
      <c r="Q69" s="457" t="str">
        <f>IF(ISBLANK(tab_invoices[[#This Row],['#]]),"",VLOOKUP(tab_invoices[[#This Row],['#]],tab_budget[['#]:[Realizuje]],10,FALSE))</f>
        <v/>
      </c>
      <c r="R69" s="457"/>
      <c r="S69" s="457"/>
    </row>
    <row r="70" spans="1:19" s="307" customFormat="1" ht="10.199999999999999" x14ac:dyDescent="0.2">
      <c r="A70" s="451">
        <f t="shared" si="1"/>
        <v>61</v>
      </c>
      <c r="B70" s="452"/>
      <c r="C70" s="453"/>
      <c r="D70" s="454"/>
      <c r="E70" s="454"/>
      <c r="F70" s="452"/>
      <c r="G70" s="455"/>
      <c r="H70" s="455"/>
      <c r="I70" s="452"/>
      <c r="J70" s="452"/>
      <c r="K70" s="291">
        <f>tab_invoices[[#This Row],[Množstvo]]*tab_invoices[[#This Row],[Náklady na jednotku]]</f>
        <v>0</v>
      </c>
      <c r="L70" s="454"/>
      <c r="M70" s="292" t="str">
        <f>IF(ISBLANK(tab_invoices[[#This Row],['#]]),"",VLOOKUP(tab_invoices[[#This Row],['#]],tab_budget[['#]:[Rozpočtová položka]],2,FALSE))</f>
        <v/>
      </c>
      <c r="N70" s="457" t="str">
        <f>IF(ISBLANK(tab_invoices[[#This Row],['#]]),"",VLOOKUP(tab_invoices[[#This Row],['#]],tab_budget[['#]:[Typ výdavku]],7,FALSE))</f>
        <v/>
      </c>
      <c r="O70" s="457" t="str">
        <f>IF(ISBLANK(tab_invoices[[#This Row],['#]]),"",VLOOKUP(tab_invoices[[#This Row],['#]],tab_budget[['#]:[Rozpočtová položka]],8,FALSE))</f>
        <v/>
      </c>
      <c r="P70" s="457" t="str">
        <f>IF(ISBLANK(tab_invoices[[#This Row],['#]]),"",VLOOKUP(tab_invoices[[#This Row],['#]],tab_budget[['#]:[Rozpočtová kapitola]],9,FALSE))</f>
        <v/>
      </c>
      <c r="Q70" s="457" t="str">
        <f>IF(ISBLANK(tab_invoices[[#This Row],['#]]),"",VLOOKUP(tab_invoices[[#This Row],['#]],tab_budget[['#]:[Realizuje]],10,FALSE))</f>
        <v/>
      </c>
      <c r="R70" s="457"/>
      <c r="S70" s="457"/>
    </row>
    <row r="71" spans="1:19" s="307" customFormat="1" ht="10.199999999999999" x14ac:dyDescent="0.2">
      <c r="A71" s="451">
        <f t="shared" si="1"/>
        <v>62</v>
      </c>
      <c r="B71" s="452"/>
      <c r="C71" s="453"/>
      <c r="D71" s="454"/>
      <c r="E71" s="454"/>
      <c r="F71" s="452"/>
      <c r="G71" s="455"/>
      <c r="H71" s="455"/>
      <c r="I71" s="452"/>
      <c r="J71" s="452"/>
      <c r="K71" s="291">
        <f>tab_invoices[[#This Row],[Množstvo]]*tab_invoices[[#This Row],[Náklady na jednotku]]</f>
        <v>0</v>
      </c>
      <c r="L71" s="454"/>
      <c r="M71" s="292" t="str">
        <f>IF(ISBLANK(tab_invoices[[#This Row],['#]]),"",VLOOKUP(tab_invoices[[#This Row],['#]],tab_budget[['#]:[Rozpočtová položka]],2,FALSE))</f>
        <v/>
      </c>
      <c r="N71" s="457" t="str">
        <f>IF(ISBLANK(tab_invoices[[#This Row],['#]]),"",VLOOKUP(tab_invoices[[#This Row],['#]],tab_budget[['#]:[Typ výdavku]],7,FALSE))</f>
        <v/>
      </c>
      <c r="O71" s="457" t="str">
        <f>IF(ISBLANK(tab_invoices[[#This Row],['#]]),"",VLOOKUP(tab_invoices[[#This Row],['#]],tab_budget[['#]:[Rozpočtová položka]],8,FALSE))</f>
        <v/>
      </c>
      <c r="P71" s="457" t="str">
        <f>IF(ISBLANK(tab_invoices[[#This Row],['#]]),"",VLOOKUP(tab_invoices[[#This Row],['#]],tab_budget[['#]:[Rozpočtová kapitola]],9,FALSE))</f>
        <v/>
      </c>
      <c r="Q71" s="457" t="str">
        <f>IF(ISBLANK(tab_invoices[[#This Row],['#]]),"",VLOOKUP(tab_invoices[[#This Row],['#]],tab_budget[['#]:[Realizuje]],10,FALSE))</f>
        <v/>
      </c>
      <c r="R71" s="457"/>
      <c r="S71" s="457"/>
    </row>
    <row r="72" spans="1:19" s="307" customFormat="1" ht="10.199999999999999" x14ac:dyDescent="0.2">
      <c r="A72" s="451">
        <f t="shared" si="1"/>
        <v>63</v>
      </c>
      <c r="B72" s="452"/>
      <c r="C72" s="453"/>
      <c r="D72" s="454"/>
      <c r="E72" s="454"/>
      <c r="F72" s="452"/>
      <c r="G72" s="455"/>
      <c r="H72" s="455"/>
      <c r="I72" s="452"/>
      <c r="J72" s="452"/>
      <c r="K72" s="291">
        <f>tab_invoices[[#This Row],[Množstvo]]*tab_invoices[[#This Row],[Náklady na jednotku]]</f>
        <v>0</v>
      </c>
      <c r="L72" s="454"/>
      <c r="M72" s="292" t="str">
        <f>IF(ISBLANK(tab_invoices[[#This Row],['#]]),"",VLOOKUP(tab_invoices[[#This Row],['#]],tab_budget[['#]:[Rozpočtová položka]],2,FALSE))</f>
        <v/>
      </c>
      <c r="N72" s="457" t="str">
        <f>IF(ISBLANK(tab_invoices[[#This Row],['#]]),"",VLOOKUP(tab_invoices[[#This Row],['#]],tab_budget[['#]:[Typ výdavku]],7,FALSE))</f>
        <v/>
      </c>
      <c r="O72" s="457" t="str">
        <f>IF(ISBLANK(tab_invoices[[#This Row],['#]]),"",VLOOKUP(tab_invoices[[#This Row],['#]],tab_budget[['#]:[Rozpočtová položka]],8,FALSE))</f>
        <v/>
      </c>
      <c r="P72" s="457" t="str">
        <f>IF(ISBLANK(tab_invoices[[#This Row],['#]]),"",VLOOKUP(tab_invoices[[#This Row],['#]],tab_budget[['#]:[Rozpočtová kapitola]],9,FALSE))</f>
        <v/>
      </c>
      <c r="Q72" s="457" t="str">
        <f>IF(ISBLANK(tab_invoices[[#This Row],['#]]),"",VLOOKUP(tab_invoices[[#This Row],['#]],tab_budget[['#]:[Realizuje]],10,FALSE))</f>
        <v/>
      </c>
      <c r="R72" s="457"/>
      <c r="S72" s="457"/>
    </row>
    <row r="73" spans="1:19" s="307" customFormat="1" ht="10.199999999999999" x14ac:dyDescent="0.2">
      <c r="A73" s="451">
        <f t="shared" si="1"/>
        <v>64</v>
      </c>
      <c r="B73" s="452"/>
      <c r="C73" s="453"/>
      <c r="D73" s="454"/>
      <c r="E73" s="454"/>
      <c r="F73" s="452"/>
      <c r="G73" s="455"/>
      <c r="H73" s="455"/>
      <c r="I73" s="452"/>
      <c r="J73" s="452"/>
      <c r="K73" s="291">
        <f>tab_invoices[[#This Row],[Množstvo]]*tab_invoices[[#This Row],[Náklady na jednotku]]</f>
        <v>0</v>
      </c>
      <c r="L73" s="454"/>
      <c r="M73" s="292" t="str">
        <f>IF(ISBLANK(tab_invoices[[#This Row],['#]]),"",VLOOKUP(tab_invoices[[#This Row],['#]],tab_budget[['#]:[Rozpočtová položka]],2,FALSE))</f>
        <v/>
      </c>
      <c r="N73" s="457" t="str">
        <f>IF(ISBLANK(tab_invoices[[#This Row],['#]]),"",VLOOKUP(tab_invoices[[#This Row],['#]],tab_budget[['#]:[Typ výdavku]],7,FALSE))</f>
        <v/>
      </c>
      <c r="O73" s="457" t="str">
        <f>IF(ISBLANK(tab_invoices[[#This Row],['#]]),"",VLOOKUP(tab_invoices[[#This Row],['#]],tab_budget[['#]:[Rozpočtová položka]],8,FALSE))</f>
        <v/>
      </c>
      <c r="P73" s="457" t="str">
        <f>IF(ISBLANK(tab_invoices[[#This Row],['#]]),"",VLOOKUP(tab_invoices[[#This Row],['#]],tab_budget[['#]:[Rozpočtová kapitola]],9,FALSE))</f>
        <v/>
      </c>
      <c r="Q73" s="457" t="str">
        <f>IF(ISBLANK(tab_invoices[[#This Row],['#]]),"",VLOOKUP(tab_invoices[[#This Row],['#]],tab_budget[['#]:[Realizuje]],10,FALSE))</f>
        <v/>
      </c>
      <c r="R73" s="457"/>
      <c r="S73" s="457"/>
    </row>
    <row r="74" spans="1:19" s="307" customFormat="1" ht="10.199999999999999" x14ac:dyDescent="0.2">
      <c r="A74" s="451">
        <f t="shared" si="1"/>
        <v>65</v>
      </c>
      <c r="B74" s="452"/>
      <c r="C74" s="453"/>
      <c r="D74" s="454"/>
      <c r="E74" s="454"/>
      <c r="F74" s="452"/>
      <c r="G74" s="455"/>
      <c r="H74" s="455"/>
      <c r="I74" s="452"/>
      <c r="J74" s="452"/>
      <c r="K74" s="291">
        <f>tab_invoices[[#This Row],[Množstvo]]*tab_invoices[[#This Row],[Náklady na jednotku]]</f>
        <v>0</v>
      </c>
      <c r="L74" s="454"/>
      <c r="M74" s="292" t="str">
        <f>IF(ISBLANK(tab_invoices[[#This Row],['#]]),"",VLOOKUP(tab_invoices[[#This Row],['#]],tab_budget[['#]:[Rozpočtová položka]],2,FALSE))</f>
        <v/>
      </c>
      <c r="N74" s="457" t="str">
        <f>IF(ISBLANK(tab_invoices[[#This Row],['#]]),"",VLOOKUP(tab_invoices[[#This Row],['#]],tab_budget[['#]:[Typ výdavku]],7,FALSE))</f>
        <v/>
      </c>
      <c r="O74" s="457" t="str">
        <f>IF(ISBLANK(tab_invoices[[#This Row],['#]]),"",VLOOKUP(tab_invoices[[#This Row],['#]],tab_budget[['#]:[Rozpočtová položka]],8,FALSE))</f>
        <v/>
      </c>
      <c r="P74" s="457" t="str">
        <f>IF(ISBLANK(tab_invoices[[#This Row],['#]]),"",VLOOKUP(tab_invoices[[#This Row],['#]],tab_budget[['#]:[Rozpočtová kapitola]],9,FALSE))</f>
        <v/>
      </c>
      <c r="Q74" s="457" t="str">
        <f>IF(ISBLANK(tab_invoices[[#This Row],['#]]),"",VLOOKUP(tab_invoices[[#This Row],['#]],tab_budget[['#]:[Realizuje]],10,FALSE))</f>
        <v/>
      </c>
      <c r="R74" s="457"/>
      <c r="S74" s="457"/>
    </row>
    <row r="75" spans="1:19" s="307" customFormat="1" ht="10.199999999999999" x14ac:dyDescent="0.2">
      <c r="A75" s="451">
        <f t="shared" ref="A75:A106" si="2">ROW(B75)-9</f>
        <v>66</v>
      </c>
      <c r="B75" s="452"/>
      <c r="C75" s="453"/>
      <c r="D75" s="454"/>
      <c r="E75" s="454"/>
      <c r="F75" s="452"/>
      <c r="G75" s="455"/>
      <c r="H75" s="455"/>
      <c r="I75" s="452"/>
      <c r="J75" s="452"/>
      <c r="K75" s="291">
        <f>tab_invoices[[#This Row],[Množstvo]]*tab_invoices[[#This Row],[Náklady na jednotku]]</f>
        <v>0</v>
      </c>
      <c r="L75" s="454"/>
      <c r="M75" s="292" t="str">
        <f>IF(ISBLANK(tab_invoices[[#This Row],['#]]),"",VLOOKUP(tab_invoices[[#This Row],['#]],tab_budget[['#]:[Rozpočtová položka]],2,FALSE))</f>
        <v/>
      </c>
      <c r="N75" s="457" t="str">
        <f>IF(ISBLANK(tab_invoices[[#This Row],['#]]),"",VLOOKUP(tab_invoices[[#This Row],['#]],tab_budget[['#]:[Typ výdavku]],7,FALSE))</f>
        <v/>
      </c>
      <c r="O75" s="457" t="str">
        <f>IF(ISBLANK(tab_invoices[[#This Row],['#]]),"",VLOOKUP(tab_invoices[[#This Row],['#]],tab_budget[['#]:[Rozpočtová položka]],8,FALSE))</f>
        <v/>
      </c>
      <c r="P75" s="457" t="str">
        <f>IF(ISBLANK(tab_invoices[[#This Row],['#]]),"",VLOOKUP(tab_invoices[[#This Row],['#]],tab_budget[['#]:[Rozpočtová kapitola]],9,FALSE))</f>
        <v/>
      </c>
      <c r="Q75" s="457" t="str">
        <f>IF(ISBLANK(tab_invoices[[#This Row],['#]]),"",VLOOKUP(tab_invoices[[#This Row],['#]],tab_budget[['#]:[Realizuje]],10,FALSE))</f>
        <v/>
      </c>
      <c r="R75" s="457"/>
      <c r="S75" s="457"/>
    </row>
    <row r="76" spans="1:19" s="307" customFormat="1" ht="10.199999999999999" x14ac:dyDescent="0.2">
      <c r="A76" s="451">
        <f t="shared" si="2"/>
        <v>67</v>
      </c>
      <c r="B76" s="452"/>
      <c r="C76" s="453"/>
      <c r="D76" s="454"/>
      <c r="E76" s="454"/>
      <c r="F76" s="452"/>
      <c r="G76" s="455"/>
      <c r="H76" s="455"/>
      <c r="I76" s="452"/>
      <c r="J76" s="452"/>
      <c r="K76" s="291">
        <f>tab_invoices[[#This Row],[Množstvo]]*tab_invoices[[#This Row],[Náklady na jednotku]]</f>
        <v>0</v>
      </c>
      <c r="L76" s="454"/>
      <c r="M76" s="292" t="str">
        <f>IF(ISBLANK(tab_invoices[[#This Row],['#]]),"",VLOOKUP(tab_invoices[[#This Row],['#]],tab_budget[['#]:[Rozpočtová položka]],2,FALSE))</f>
        <v/>
      </c>
      <c r="N76" s="457" t="str">
        <f>IF(ISBLANK(tab_invoices[[#This Row],['#]]),"",VLOOKUP(tab_invoices[[#This Row],['#]],tab_budget[['#]:[Typ výdavku]],7,FALSE))</f>
        <v/>
      </c>
      <c r="O76" s="457" t="str">
        <f>IF(ISBLANK(tab_invoices[[#This Row],['#]]),"",VLOOKUP(tab_invoices[[#This Row],['#]],tab_budget[['#]:[Rozpočtová položka]],8,FALSE))</f>
        <v/>
      </c>
      <c r="P76" s="457" t="str">
        <f>IF(ISBLANK(tab_invoices[[#This Row],['#]]),"",VLOOKUP(tab_invoices[[#This Row],['#]],tab_budget[['#]:[Rozpočtová kapitola]],9,FALSE))</f>
        <v/>
      </c>
      <c r="Q76" s="457" t="str">
        <f>IF(ISBLANK(tab_invoices[[#This Row],['#]]),"",VLOOKUP(tab_invoices[[#This Row],['#]],tab_budget[['#]:[Realizuje]],10,FALSE))</f>
        <v/>
      </c>
      <c r="R76" s="457"/>
      <c r="S76" s="457"/>
    </row>
    <row r="77" spans="1:19" s="307" customFormat="1" ht="10.199999999999999" x14ac:dyDescent="0.2">
      <c r="A77" s="451">
        <f t="shared" si="2"/>
        <v>68</v>
      </c>
      <c r="B77" s="452"/>
      <c r="C77" s="453"/>
      <c r="D77" s="454"/>
      <c r="E77" s="454"/>
      <c r="F77" s="452"/>
      <c r="G77" s="455"/>
      <c r="H77" s="455"/>
      <c r="I77" s="452"/>
      <c r="J77" s="452"/>
      <c r="K77" s="291">
        <f>tab_invoices[[#This Row],[Množstvo]]*tab_invoices[[#This Row],[Náklady na jednotku]]</f>
        <v>0</v>
      </c>
      <c r="L77" s="454"/>
      <c r="M77" s="292" t="str">
        <f>IF(ISBLANK(tab_invoices[[#This Row],['#]]),"",VLOOKUP(tab_invoices[[#This Row],['#]],tab_budget[['#]:[Rozpočtová položka]],2,FALSE))</f>
        <v/>
      </c>
      <c r="N77" s="457" t="str">
        <f>IF(ISBLANK(tab_invoices[[#This Row],['#]]),"",VLOOKUP(tab_invoices[[#This Row],['#]],tab_budget[['#]:[Typ výdavku]],7,FALSE))</f>
        <v/>
      </c>
      <c r="O77" s="457" t="str">
        <f>IF(ISBLANK(tab_invoices[[#This Row],['#]]),"",VLOOKUP(tab_invoices[[#This Row],['#]],tab_budget[['#]:[Rozpočtová položka]],8,FALSE))</f>
        <v/>
      </c>
      <c r="P77" s="457" t="str">
        <f>IF(ISBLANK(tab_invoices[[#This Row],['#]]),"",VLOOKUP(tab_invoices[[#This Row],['#]],tab_budget[['#]:[Rozpočtová kapitola]],9,FALSE))</f>
        <v/>
      </c>
      <c r="Q77" s="457" t="str">
        <f>IF(ISBLANK(tab_invoices[[#This Row],['#]]),"",VLOOKUP(tab_invoices[[#This Row],['#]],tab_budget[['#]:[Realizuje]],10,FALSE))</f>
        <v/>
      </c>
      <c r="R77" s="457"/>
      <c r="S77" s="457"/>
    </row>
    <row r="78" spans="1:19" s="307" customFormat="1" ht="10.199999999999999" x14ac:dyDescent="0.2">
      <c r="A78" s="451">
        <f t="shared" si="2"/>
        <v>69</v>
      </c>
      <c r="B78" s="452"/>
      <c r="C78" s="453"/>
      <c r="D78" s="454"/>
      <c r="E78" s="454"/>
      <c r="F78" s="452"/>
      <c r="G78" s="455"/>
      <c r="H78" s="455"/>
      <c r="I78" s="452"/>
      <c r="J78" s="452"/>
      <c r="K78" s="291">
        <f>tab_invoices[[#This Row],[Množstvo]]*tab_invoices[[#This Row],[Náklady na jednotku]]</f>
        <v>0</v>
      </c>
      <c r="L78" s="454"/>
      <c r="M78" s="292" t="str">
        <f>IF(ISBLANK(tab_invoices[[#This Row],['#]]),"",VLOOKUP(tab_invoices[[#This Row],['#]],tab_budget[['#]:[Rozpočtová položka]],2,FALSE))</f>
        <v/>
      </c>
      <c r="N78" s="457" t="str">
        <f>IF(ISBLANK(tab_invoices[[#This Row],['#]]),"",VLOOKUP(tab_invoices[[#This Row],['#]],tab_budget[['#]:[Typ výdavku]],7,FALSE))</f>
        <v/>
      </c>
      <c r="O78" s="457" t="str">
        <f>IF(ISBLANK(tab_invoices[[#This Row],['#]]),"",VLOOKUP(tab_invoices[[#This Row],['#]],tab_budget[['#]:[Rozpočtová položka]],8,FALSE))</f>
        <v/>
      </c>
      <c r="P78" s="457" t="str">
        <f>IF(ISBLANK(tab_invoices[[#This Row],['#]]),"",VLOOKUP(tab_invoices[[#This Row],['#]],tab_budget[['#]:[Rozpočtová kapitola]],9,FALSE))</f>
        <v/>
      </c>
      <c r="Q78" s="457" t="str">
        <f>IF(ISBLANK(tab_invoices[[#This Row],['#]]),"",VLOOKUP(tab_invoices[[#This Row],['#]],tab_budget[['#]:[Realizuje]],10,FALSE))</f>
        <v/>
      </c>
      <c r="R78" s="457"/>
      <c r="S78" s="457"/>
    </row>
    <row r="79" spans="1:19" s="307" customFormat="1" ht="10.199999999999999" x14ac:dyDescent="0.2">
      <c r="A79" s="451">
        <f t="shared" si="2"/>
        <v>70</v>
      </c>
      <c r="B79" s="452"/>
      <c r="C79" s="453"/>
      <c r="D79" s="454"/>
      <c r="E79" s="454"/>
      <c r="F79" s="452"/>
      <c r="G79" s="455"/>
      <c r="H79" s="455"/>
      <c r="I79" s="452"/>
      <c r="J79" s="452"/>
      <c r="K79" s="291">
        <f>tab_invoices[[#This Row],[Množstvo]]*tab_invoices[[#This Row],[Náklady na jednotku]]</f>
        <v>0</v>
      </c>
      <c r="L79" s="454"/>
      <c r="M79" s="292" t="str">
        <f>IF(ISBLANK(tab_invoices[[#This Row],['#]]),"",VLOOKUP(tab_invoices[[#This Row],['#]],tab_budget[['#]:[Rozpočtová položka]],2,FALSE))</f>
        <v/>
      </c>
      <c r="N79" s="457" t="str">
        <f>IF(ISBLANK(tab_invoices[[#This Row],['#]]),"",VLOOKUP(tab_invoices[[#This Row],['#]],tab_budget[['#]:[Typ výdavku]],7,FALSE))</f>
        <v/>
      </c>
      <c r="O79" s="457" t="str">
        <f>IF(ISBLANK(tab_invoices[[#This Row],['#]]),"",VLOOKUP(tab_invoices[[#This Row],['#]],tab_budget[['#]:[Rozpočtová položka]],8,FALSE))</f>
        <v/>
      </c>
      <c r="P79" s="457" t="str">
        <f>IF(ISBLANK(tab_invoices[[#This Row],['#]]),"",VLOOKUP(tab_invoices[[#This Row],['#]],tab_budget[['#]:[Rozpočtová kapitola]],9,FALSE))</f>
        <v/>
      </c>
      <c r="Q79" s="457" t="str">
        <f>IF(ISBLANK(tab_invoices[[#This Row],['#]]),"",VLOOKUP(tab_invoices[[#This Row],['#]],tab_budget[['#]:[Realizuje]],10,FALSE))</f>
        <v/>
      </c>
      <c r="R79" s="457"/>
      <c r="S79" s="457"/>
    </row>
    <row r="80" spans="1:19" s="307" customFormat="1" ht="10.199999999999999" x14ac:dyDescent="0.2">
      <c r="A80" s="451">
        <f t="shared" si="2"/>
        <v>71</v>
      </c>
      <c r="B80" s="452"/>
      <c r="C80" s="453"/>
      <c r="D80" s="454"/>
      <c r="E80" s="454"/>
      <c r="F80" s="452"/>
      <c r="G80" s="455"/>
      <c r="H80" s="455"/>
      <c r="I80" s="452"/>
      <c r="J80" s="452"/>
      <c r="K80" s="291">
        <f>tab_invoices[[#This Row],[Množstvo]]*tab_invoices[[#This Row],[Náklady na jednotku]]</f>
        <v>0</v>
      </c>
      <c r="L80" s="454"/>
      <c r="M80" s="292" t="str">
        <f>IF(ISBLANK(tab_invoices[[#This Row],['#]]),"",VLOOKUP(tab_invoices[[#This Row],['#]],tab_budget[['#]:[Rozpočtová položka]],2,FALSE))</f>
        <v/>
      </c>
      <c r="N80" s="457" t="str">
        <f>IF(ISBLANK(tab_invoices[[#This Row],['#]]),"",VLOOKUP(tab_invoices[[#This Row],['#]],tab_budget[['#]:[Typ výdavku]],7,FALSE))</f>
        <v/>
      </c>
      <c r="O80" s="457" t="str">
        <f>IF(ISBLANK(tab_invoices[[#This Row],['#]]),"",VLOOKUP(tab_invoices[[#This Row],['#]],tab_budget[['#]:[Rozpočtová položka]],8,FALSE))</f>
        <v/>
      </c>
      <c r="P80" s="457" t="str">
        <f>IF(ISBLANK(tab_invoices[[#This Row],['#]]),"",VLOOKUP(tab_invoices[[#This Row],['#]],tab_budget[['#]:[Rozpočtová kapitola]],9,FALSE))</f>
        <v/>
      </c>
      <c r="Q80" s="457" t="str">
        <f>IF(ISBLANK(tab_invoices[[#This Row],['#]]),"",VLOOKUP(tab_invoices[[#This Row],['#]],tab_budget[['#]:[Realizuje]],10,FALSE))</f>
        <v/>
      </c>
      <c r="R80" s="457"/>
      <c r="S80" s="457"/>
    </row>
    <row r="81" spans="1:19" s="307" customFormat="1" ht="10.199999999999999" x14ac:dyDescent="0.2">
      <c r="A81" s="451">
        <f t="shared" si="2"/>
        <v>72</v>
      </c>
      <c r="B81" s="452"/>
      <c r="C81" s="453"/>
      <c r="D81" s="454"/>
      <c r="E81" s="454"/>
      <c r="F81" s="452"/>
      <c r="G81" s="455"/>
      <c r="H81" s="455"/>
      <c r="I81" s="452"/>
      <c r="J81" s="452"/>
      <c r="K81" s="291">
        <f>tab_invoices[[#This Row],[Množstvo]]*tab_invoices[[#This Row],[Náklady na jednotku]]</f>
        <v>0</v>
      </c>
      <c r="L81" s="454"/>
      <c r="M81" s="292" t="str">
        <f>IF(ISBLANK(tab_invoices[[#This Row],['#]]),"",VLOOKUP(tab_invoices[[#This Row],['#]],tab_budget[['#]:[Rozpočtová položka]],2,FALSE))</f>
        <v/>
      </c>
      <c r="N81" s="457" t="str">
        <f>IF(ISBLANK(tab_invoices[[#This Row],['#]]),"",VLOOKUP(tab_invoices[[#This Row],['#]],tab_budget[['#]:[Typ výdavku]],7,FALSE))</f>
        <v/>
      </c>
      <c r="O81" s="457" t="str">
        <f>IF(ISBLANK(tab_invoices[[#This Row],['#]]),"",VLOOKUP(tab_invoices[[#This Row],['#]],tab_budget[['#]:[Rozpočtová položka]],8,FALSE))</f>
        <v/>
      </c>
      <c r="P81" s="457" t="str">
        <f>IF(ISBLANK(tab_invoices[[#This Row],['#]]),"",VLOOKUP(tab_invoices[[#This Row],['#]],tab_budget[['#]:[Rozpočtová kapitola]],9,FALSE))</f>
        <v/>
      </c>
      <c r="Q81" s="457" t="str">
        <f>IF(ISBLANK(tab_invoices[[#This Row],['#]]),"",VLOOKUP(tab_invoices[[#This Row],['#]],tab_budget[['#]:[Realizuje]],10,FALSE))</f>
        <v/>
      </c>
      <c r="R81" s="457"/>
      <c r="S81" s="457"/>
    </row>
    <row r="82" spans="1:19" s="307" customFormat="1" ht="10.199999999999999" x14ac:dyDescent="0.2">
      <c r="A82" s="451">
        <f t="shared" si="2"/>
        <v>73</v>
      </c>
      <c r="B82" s="452"/>
      <c r="C82" s="453"/>
      <c r="D82" s="454"/>
      <c r="E82" s="454"/>
      <c r="F82" s="452"/>
      <c r="G82" s="455"/>
      <c r="H82" s="455"/>
      <c r="I82" s="452"/>
      <c r="J82" s="452"/>
      <c r="K82" s="291">
        <f>tab_invoices[[#This Row],[Množstvo]]*tab_invoices[[#This Row],[Náklady na jednotku]]</f>
        <v>0</v>
      </c>
      <c r="L82" s="454"/>
      <c r="M82" s="292" t="str">
        <f>IF(ISBLANK(tab_invoices[[#This Row],['#]]),"",VLOOKUP(tab_invoices[[#This Row],['#]],tab_budget[['#]:[Rozpočtová položka]],2,FALSE))</f>
        <v/>
      </c>
      <c r="N82" s="457" t="str">
        <f>IF(ISBLANK(tab_invoices[[#This Row],['#]]),"",VLOOKUP(tab_invoices[[#This Row],['#]],tab_budget[['#]:[Typ výdavku]],7,FALSE))</f>
        <v/>
      </c>
      <c r="O82" s="457" t="str">
        <f>IF(ISBLANK(tab_invoices[[#This Row],['#]]),"",VLOOKUP(tab_invoices[[#This Row],['#]],tab_budget[['#]:[Rozpočtová položka]],8,FALSE))</f>
        <v/>
      </c>
      <c r="P82" s="457" t="str">
        <f>IF(ISBLANK(tab_invoices[[#This Row],['#]]),"",VLOOKUP(tab_invoices[[#This Row],['#]],tab_budget[['#]:[Rozpočtová kapitola]],9,FALSE))</f>
        <v/>
      </c>
      <c r="Q82" s="457" t="str">
        <f>IF(ISBLANK(tab_invoices[[#This Row],['#]]),"",VLOOKUP(tab_invoices[[#This Row],['#]],tab_budget[['#]:[Realizuje]],10,FALSE))</f>
        <v/>
      </c>
      <c r="R82" s="457"/>
      <c r="S82" s="457"/>
    </row>
    <row r="83" spans="1:19" s="307" customFormat="1" ht="10.199999999999999" x14ac:dyDescent="0.2">
      <c r="A83" s="451">
        <f t="shared" si="2"/>
        <v>74</v>
      </c>
      <c r="B83" s="452"/>
      <c r="C83" s="453"/>
      <c r="D83" s="454"/>
      <c r="E83" s="454"/>
      <c r="F83" s="452"/>
      <c r="G83" s="455"/>
      <c r="H83" s="455"/>
      <c r="I83" s="452"/>
      <c r="J83" s="452"/>
      <c r="K83" s="291">
        <f>tab_invoices[[#This Row],[Množstvo]]*tab_invoices[[#This Row],[Náklady na jednotku]]</f>
        <v>0</v>
      </c>
      <c r="L83" s="454"/>
      <c r="M83" s="292" t="str">
        <f>IF(ISBLANK(tab_invoices[[#This Row],['#]]),"",VLOOKUP(tab_invoices[[#This Row],['#]],tab_budget[['#]:[Rozpočtová položka]],2,FALSE))</f>
        <v/>
      </c>
      <c r="N83" s="457" t="str">
        <f>IF(ISBLANK(tab_invoices[[#This Row],['#]]),"",VLOOKUP(tab_invoices[[#This Row],['#]],tab_budget[['#]:[Typ výdavku]],7,FALSE))</f>
        <v/>
      </c>
      <c r="O83" s="457" t="str">
        <f>IF(ISBLANK(tab_invoices[[#This Row],['#]]),"",VLOOKUP(tab_invoices[[#This Row],['#]],tab_budget[['#]:[Rozpočtová položka]],8,FALSE))</f>
        <v/>
      </c>
      <c r="P83" s="457" t="str">
        <f>IF(ISBLANK(tab_invoices[[#This Row],['#]]),"",VLOOKUP(tab_invoices[[#This Row],['#]],tab_budget[['#]:[Rozpočtová kapitola]],9,FALSE))</f>
        <v/>
      </c>
      <c r="Q83" s="457" t="str">
        <f>IF(ISBLANK(tab_invoices[[#This Row],['#]]),"",VLOOKUP(tab_invoices[[#This Row],['#]],tab_budget[['#]:[Realizuje]],10,FALSE))</f>
        <v/>
      </c>
      <c r="R83" s="457"/>
      <c r="S83" s="457"/>
    </row>
    <row r="84" spans="1:19" s="307" customFormat="1" ht="10.199999999999999" x14ac:dyDescent="0.2">
      <c r="A84" s="451">
        <f t="shared" si="2"/>
        <v>75</v>
      </c>
      <c r="B84" s="452"/>
      <c r="C84" s="453"/>
      <c r="D84" s="454"/>
      <c r="E84" s="454"/>
      <c r="F84" s="452"/>
      <c r="G84" s="455"/>
      <c r="H84" s="455"/>
      <c r="I84" s="452"/>
      <c r="J84" s="452"/>
      <c r="K84" s="291">
        <f>tab_invoices[[#This Row],[Množstvo]]*tab_invoices[[#This Row],[Náklady na jednotku]]</f>
        <v>0</v>
      </c>
      <c r="L84" s="454"/>
      <c r="M84" s="292" t="str">
        <f>IF(ISBLANK(tab_invoices[[#This Row],['#]]),"",VLOOKUP(tab_invoices[[#This Row],['#]],tab_budget[['#]:[Rozpočtová položka]],2,FALSE))</f>
        <v/>
      </c>
      <c r="N84" s="457" t="str">
        <f>IF(ISBLANK(tab_invoices[[#This Row],['#]]),"",VLOOKUP(tab_invoices[[#This Row],['#]],tab_budget[['#]:[Typ výdavku]],7,FALSE))</f>
        <v/>
      </c>
      <c r="O84" s="457" t="str">
        <f>IF(ISBLANK(tab_invoices[[#This Row],['#]]),"",VLOOKUP(tab_invoices[[#This Row],['#]],tab_budget[['#]:[Rozpočtová položka]],8,FALSE))</f>
        <v/>
      </c>
      <c r="P84" s="457" t="str">
        <f>IF(ISBLANK(tab_invoices[[#This Row],['#]]),"",VLOOKUP(tab_invoices[[#This Row],['#]],tab_budget[['#]:[Rozpočtová kapitola]],9,FALSE))</f>
        <v/>
      </c>
      <c r="Q84" s="457" t="str">
        <f>IF(ISBLANK(tab_invoices[[#This Row],['#]]),"",VLOOKUP(tab_invoices[[#This Row],['#]],tab_budget[['#]:[Realizuje]],10,FALSE))</f>
        <v/>
      </c>
      <c r="R84" s="457"/>
      <c r="S84" s="457"/>
    </row>
    <row r="85" spans="1:19" s="307" customFormat="1" ht="10.199999999999999" x14ac:dyDescent="0.2">
      <c r="A85" s="451">
        <f t="shared" si="2"/>
        <v>76</v>
      </c>
      <c r="B85" s="452"/>
      <c r="C85" s="453"/>
      <c r="D85" s="454"/>
      <c r="E85" s="454"/>
      <c r="F85" s="452"/>
      <c r="G85" s="455"/>
      <c r="H85" s="455"/>
      <c r="I85" s="452"/>
      <c r="J85" s="452"/>
      <c r="K85" s="291">
        <f>tab_invoices[[#This Row],[Množstvo]]*tab_invoices[[#This Row],[Náklady na jednotku]]</f>
        <v>0</v>
      </c>
      <c r="L85" s="454"/>
      <c r="M85" s="292" t="str">
        <f>IF(ISBLANK(tab_invoices[[#This Row],['#]]),"",VLOOKUP(tab_invoices[[#This Row],['#]],tab_budget[['#]:[Rozpočtová položka]],2,FALSE))</f>
        <v/>
      </c>
      <c r="N85" s="457" t="str">
        <f>IF(ISBLANK(tab_invoices[[#This Row],['#]]),"",VLOOKUP(tab_invoices[[#This Row],['#]],tab_budget[['#]:[Typ výdavku]],7,FALSE))</f>
        <v/>
      </c>
      <c r="O85" s="457" t="str">
        <f>IF(ISBLANK(tab_invoices[[#This Row],['#]]),"",VLOOKUP(tab_invoices[[#This Row],['#]],tab_budget[['#]:[Rozpočtová položka]],8,FALSE))</f>
        <v/>
      </c>
      <c r="P85" s="457" t="str">
        <f>IF(ISBLANK(tab_invoices[[#This Row],['#]]),"",VLOOKUP(tab_invoices[[#This Row],['#]],tab_budget[['#]:[Rozpočtová kapitola]],9,FALSE))</f>
        <v/>
      </c>
      <c r="Q85" s="457" t="str">
        <f>IF(ISBLANK(tab_invoices[[#This Row],['#]]),"",VLOOKUP(tab_invoices[[#This Row],['#]],tab_budget[['#]:[Realizuje]],10,FALSE))</f>
        <v/>
      </c>
      <c r="R85" s="457"/>
      <c r="S85" s="457"/>
    </row>
    <row r="86" spans="1:19" s="307" customFormat="1" ht="10.199999999999999" x14ac:dyDescent="0.2">
      <c r="A86" s="451">
        <f t="shared" si="2"/>
        <v>77</v>
      </c>
      <c r="B86" s="452"/>
      <c r="C86" s="453"/>
      <c r="D86" s="454"/>
      <c r="E86" s="454"/>
      <c r="F86" s="452"/>
      <c r="G86" s="455"/>
      <c r="H86" s="455"/>
      <c r="I86" s="452"/>
      <c r="J86" s="452"/>
      <c r="K86" s="291">
        <f>tab_invoices[[#This Row],[Množstvo]]*tab_invoices[[#This Row],[Náklady na jednotku]]</f>
        <v>0</v>
      </c>
      <c r="L86" s="454"/>
      <c r="M86" s="292" t="str">
        <f>IF(ISBLANK(tab_invoices[[#This Row],['#]]),"",VLOOKUP(tab_invoices[[#This Row],['#]],tab_budget[['#]:[Rozpočtová položka]],2,FALSE))</f>
        <v/>
      </c>
      <c r="N86" s="457" t="str">
        <f>IF(ISBLANK(tab_invoices[[#This Row],['#]]),"",VLOOKUP(tab_invoices[[#This Row],['#]],tab_budget[['#]:[Typ výdavku]],7,FALSE))</f>
        <v/>
      </c>
      <c r="O86" s="457" t="str">
        <f>IF(ISBLANK(tab_invoices[[#This Row],['#]]),"",VLOOKUP(tab_invoices[[#This Row],['#]],tab_budget[['#]:[Rozpočtová položka]],8,FALSE))</f>
        <v/>
      </c>
      <c r="P86" s="457" t="str">
        <f>IF(ISBLANK(tab_invoices[[#This Row],['#]]),"",VLOOKUP(tab_invoices[[#This Row],['#]],tab_budget[['#]:[Rozpočtová kapitola]],9,FALSE))</f>
        <v/>
      </c>
      <c r="Q86" s="457" t="str">
        <f>IF(ISBLANK(tab_invoices[[#This Row],['#]]),"",VLOOKUP(tab_invoices[[#This Row],['#]],tab_budget[['#]:[Realizuje]],10,FALSE))</f>
        <v/>
      </c>
      <c r="R86" s="457"/>
      <c r="S86" s="457"/>
    </row>
    <row r="87" spans="1:19" s="307" customFormat="1" ht="10.199999999999999" x14ac:dyDescent="0.2">
      <c r="A87" s="451">
        <f t="shared" si="2"/>
        <v>78</v>
      </c>
      <c r="B87" s="452"/>
      <c r="C87" s="453"/>
      <c r="D87" s="454"/>
      <c r="E87" s="454"/>
      <c r="F87" s="452"/>
      <c r="G87" s="455"/>
      <c r="H87" s="455"/>
      <c r="I87" s="452"/>
      <c r="J87" s="452"/>
      <c r="K87" s="291">
        <f>tab_invoices[[#This Row],[Množstvo]]*tab_invoices[[#This Row],[Náklady na jednotku]]</f>
        <v>0</v>
      </c>
      <c r="L87" s="454"/>
      <c r="M87" s="292" t="str">
        <f>IF(ISBLANK(tab_invoices[[#This Row],['#]]),"",VLOOKUP(tab_invoices[[#This Row],['#]],tab_budget[['#]:[Rozpočtová položka]],2,FALSE))</f>
        <v/>
      </c>
      <c r="N87" s="457" t="str">
        <f>IF(ISBLANK(tab_invoices[[#This Row],['#]]),"",VLOOKUP(tab_invoices[[#This Row],['#]],tab_budget[['#]:[Typ výdavku]],7,FALSE))</f>
        <v/>
      </c>
      <c r="O87" s="457" t="str">
        <f>IF(ISBLANK(tab_invoices[[#This Row],['#]]),"",VLOOKUP(tab_invoices[[#This Row],['#]],tab_budget[['#]:[Rozpočtová položka]],8,FALSE))</f>
        <v/>
      </c>
      <c r="P87" s="457" t="str">
        <f>IF(ISBLANK(tab_invoices[[#This Row],['#]]),"",VLOOKUP(tab_invoices[[#This Row],['#]],tab_budget[['#]:[Rozpočtová kapitola]],9,FALSE))</f>
        <v/>
      </c>
      <c r="Q87" s="457" t="str">
        <f>IF(ISBLANK(tab_invoices[[#This Row],['#]]),"",VLOOKUP(tab_invoices[[#This Row],['#]],tab_budget[['#]:[Realizuje]],10,FALSE))</f>
        <v/>
      </c>
      <c r="R87" s="457"/>
      <c r="S87" s="457"/>
    </row>
    <row r="88" spans="1:19" s="307" customFormat="1" ht="10.199999999999999" x14ac:dyDescent="0.2">
      <c r="A88" s="451">
        <f t="shared" si="2"/>
        <v>79</v>
      </c>
      <c r="B88" s="452"/>
      <c r="C88" s="453"/>
      <c r="D88" s="454"/>
      <c r="E88" s="454"/>
      <c r="F88" s="452"/>
      <c r="G88" s="455"/>
      <c r="H88" s="455"/>
      <c r="I88" s="452"/>
      <c r="J88" s="452"/>
      <c r="K88" s="291">
        <f>tab_invoices[[#This Row],[Množstvo]]*tab_invoices[[#This Row],[Náklady na jednotku]]</f>
        <v>0</v>
      </c>
      <c r="L88" s="454"/>
      <c r="M88" s="292" t="str">
        <f>IF(ISBLANK(tab_invoices[[#This Row],['#]]),"",VLOOKUP(tab_invoices[[#This Row],['#]],tab_budget[['#]:[Rozpočtová položka]],2,FALSE))</f>
        <v/>
      </c>
      <c r="N88" s="457" t="str">
        <f>IF(ISBLANK(tab_invoices[[#This Row],['#]]),"",VLOOKUP(tab_invoices[[#This Row],['#]],tab_budget[['#]:[Typ výdavku]],7,FALSE))</f>
        <v/>
      </c>
      <c r="O88" s="457" t="str">
        <f>IF(ISBLANK(tab_invoices[[#This Row],['#]]),"",VLOOKUP(tab_invoices[[#This Row],['#]],tab_budget[['#]:[Rozpočtová položka]],8,FALSE))</f>
        <v/>
      </c>
      <c r="P88" s="457" t="str">
        <f>IF(ISBLANK(tab_invoices[[#This Row],['#]]),"",VLOOKUP(tab_invoices[[#This Row],['#]],tab_budget[['#]:[Rozpočtová kapitola]],9,FALSE))</f>
        <v/>
      </c>
      <c r="Q88" s="457" t="str">
        <f>IF(ISBLANK(tab_invoices[[#This Row],['#]]),"",VLOOKUP(tab_invoices[[#This Row],['#]],tab_budget[['#]:[Realizuje]],10,FALSE))</f>
        <v/>
      </c>
      <c r="R88" s="457"/>
      <c r="S88" s="457"/>
    </row>
    <row r="89" spans="1:19" s="307" customFormat="1" ht="10.199999999999999" x14ac:dyDescent="0.2">
      <c r="A89" s="451">
        <f t="shared" si="2"/>
        <v>80</v>
      </c>
      <c r="B89" s="452"/>
      <c r="C89" s="453"/>
      <c r="D89" s="454"/>
      <c r="E89" s="454"/>
      <c r="F89" s="452"/>
      <c r="G89" s="455"/>
      <c r="H89" s="455"/>
      <c r="I89" s="452"/>
      <c r="J89" s="452"/>
      <c r="K89" s="291">
        <f>tab_invoices[[#This Row],[Množstvo]]*tab_invoices[[#This Row],[Náklady na jednotku]]</f>
        <v>0</v>
      </c>
      <c r="L89" s="454"/>
      <c r="M89" s="292" t="str">
        <f>IF(ISBLANK(tab_invoices[[#This Row],['#]]),"",VLOOKUP(tab_invoices[[#This Row],['#]],tab_budget[['#]:[Rozpočtová položka]],2,FALSE))</f>
        <v/>
      </c>
      <c r="N89" s="457" t="str">
        <f>IF(ISBLANK(tab_invoices[[#This Row],['#]]),"",VLOOKUP(tab_invoices[[#This Row],['#]],tab_budget[['#]:[Typ výdavku]],7,FALSE))</f>
        <v/>
      </c>
      <c r="O89" s="457" t="str">
        <f>IF(ISBLANK(tab_invoices[[#This Row],['#]]),"",VLOOKUP(tab_invoices[[#This Row],['#]],tab_budget[['#]:[Rozpočtová položka]],8,FALSE))</f>
        <v/>
      </c>
      <c r="P89" s="457" t="str">
        <f>IF(ISBLANK(tab_invoices[[#This Row],['#]]),"",VLOOKUP(tab_invoices[[#This Row],['#]],tab_budget[['#]:[Rozpočtová kapitola]],9,FALSE))</f>
        <v/>
      </c>
      <c r="Q89" s="457" t="str">
        <f>IF(ISBLANK(tab_invoices[[#This Row],['#]]),"",VLOOKUP(tab_invoices[[#This Row],['#]],tab_budget[['#]:[Realizuje]],10,FALSE))</f>
        <v/>
      </c>
      <c r="R89" s="457"/>
      <c r="S89" s="457"/>
    </row>
    <row r="90" spans="1:19" s="307" customFormat="1" ht="10.199999999999999" x14ac:dyDescent="0.2">
      <c r="A90" s="451">
        <f t="shared" si="2"/>
        <v>81</v>
      </c>
      <c r="B90" s="452"/>
      <c r="C90" s="453"/>
      <c r="D90" s="454"/>
      <c r="E90" s="454"/>
      <c r="F90" s="452"/>
      <c r="G90" s="455"/>
      <c r="H90" s="455"/>
      <c r="I90" s="452"/>
      <c r="J90" s="452"/>
      <c r="K90" s="291">
        <f>tab_invoices[[#This Row],[Množstvo]]*tab_invoices[[#This Row],[Náklady na jednotku]]</f>
        <v>0</v>
      </c>
      <c r="L90" s="454"/>
      <c r="M90" s="292" t="str">
        <f>IF(ISBLANK(tab_invoices[[#This Row],['#]]),"",VLOOKUP(tab_invoices[[#This Row],['#]],tab_budget[['#]:[Rozpočtová položka]],2,FALSE))</f>
        <v/>
      </c>
      <c r="N90" s="457" t="str">
        <f>IF(ISBLANK(tab_invoices[[#This Row],['#]]),"",VLOOKUP(tab_invoices[[#This Row],['#]],tab_budget[['#]:[Typ výdavku]],7,FALSE))</f>
        <v/>
      </c>
      <c r="O90" s="457" t="str">
        <f>IF(ISBLANK(tab_invoices[[#This Row],['#]]),"",VLOOKUP(tab_invoices[[#This Row],['#]],tab_budget[['#]:[Rozpočtová položka]],8,FALSE))</f>
        <v/>
      </c>
      <c r="P90" s="457" t="str">
        <f>IF(ISBLANK(tab_invoices[[#This Row],['#]]),"",VLOOKUP(tab_invoices[[#This Row],['#]],tab_budget[['#]:[Rozpočtová kapitola]],9,FALSE))</f>
        <v/>
      </c>
      <c r="Q90" s="457" t="str">
        <f>IF(ISBLANK(tab_invoices[[#This Row],['#]]),"",VLOOKUP(tab_invoices[[#This Row],['#]],tab_budget[['#]:[Realizuje]],10,FALSE))</f>
        <v/>
      </c>
      <c r="R90" s="457"/>
      <c r="S90" s="457"/>
    </row>
    <row r="91" spans="1:19" s="307" customFormat="1" ht="10.199999999999999" x14ac:dyDescent="0.2">
      <c r="A91" s="451">
        <f t="shared" si="2"/>
        <v>82</v>
      </c>
      <c r="B91" s="452"/>
      <c r="C91" s="453"/>
      <c r="D91" s="454"/>
      <c r="E91" s="454"/>
      <c r="F91" s="452"/>
      <c r="G91" s="455"/>
      <c r="H91" s="455"/>
      <c r="I91" s="452"/>
      <c r="J91" s="452"/>
      <c r="K91" s="291">
        <f>tab_invoices[[#This Row],[Množstvo]]*tab_invoices[[#This Row],[Náklady na jednotku]]</f>
        <v>0</v>
      </c>
      <c r="L91" s="454"/>
      <c r="M91" s="292" t="str">
        <f>IF(ISBLANK(tab_invoices[[#This Row],['#]]),"",VLOOKUP(tab_invoices[[#This Row],['#]],tab_budget[['#]:[Rozpočtová položka]],2,FALSE))</f>
        <v/>
      </c>
      <c r="N91" s="457" t="str">
        <f>IF(ISBLANK(tab_invoices[[#This Row],['#]]),"",VLOOKUP(tab_invoices[[#This Row],['#]],tab_budget[['#]:[Typ výdavku]],7,FALSE))</f>
        <v/>
      </c>
      <c r="O91" s="457" t="str">
        <f>IF(ISBLANK(tab_invoices[[#This Row],['#]]),"",VLOOKUP(tab_invoices[[#This Row],['#]],tab_budget[['#]:[Rozpočtová položka]],8,FALSE))</f>
        <v/>
      </c>
      <c r="P91" s="457" t="str">
        <f>IF(ISBLANK(tab_invoices[[#This Row],['#]]),"",VLOOKUP(tab_invoices[[#This Row],['#]],tab_budget[['#]:[Rozpočtová kapitola]],9,FALSE))</f>
        <v/>
      </c>
      <c r="Q91" s="457" t="str">
        <f>IF(ISBLANK(tab_invoices[[#This Row],['#]]),"",VLOOKUP(tab_invoices[[#This Row],['#]],tab_budget[['#]:[Realizuje]],10,FALSE))</f>
        <v/>
      </c>
      <c r="R91" s="457"/>
      <c r="S91" s="457"/>
    </row>
    <row r="92" spans="1:19" s="307" customFormat="1" ht="10.199999999999999" x14ac:dyDescent="0.2">
      <c r="A92" s="451">
        <f t="shared" si="2"/>
        <v>83</v>
      </c>
      <c r="B92" s="452"/>
      <c r="C92" s="453"/>
      <c r="D92" s="454"/>
      <c r="E92" s="454"/>
      <c r="F92" s="452"/>
      <c r="G92" s="455"/>
      <c r="H92" s="455"/>
      <c r="I92" s="452"/>
      <c r="J92" s="452"/>
      <c r="K92" s="291">
        <f>tab_invoices[[#This Row],[Množstvo]]*tab_invoices[[#This Row],[Náklady na jednotku]]</f>
        <v>0</v>
      </c>
      <c r="L92" s="454"/>
      <c r="M92" s="292" t="str">
        <f>IF(ISBLANK(tab_invoices[[#This Row],['#]]),"",VLOOKUP(tab_invoices[[#This Row],['#]],tab_budget[['#]:[Rozpočtová položka]],2,FALSE))</f>
        <v/>
      </c>
      <c r="N92" s="457" t="str">
        <f>IF(ISBLANK(tab_invoices[[#This Row],['#]]),"",VLOOKUP(tab_invoices[[#This Row],['#]],tab_budget[['#]:[Typ výdavku]],7,FALSE))</f>
        <v/>
      </c>
      <c r="O92" s="457" t="str">
        <f>IF(ISBLANK(tab_invoices[[#This Row],['#]]),"",VLOOKUP(tab_invoices[[#This Row],['#]],tab_budget[['#]:[Rozpočtová položka]],8,FALSE))</f>
        <v/>
      </c>
      <c r="P92" s="457" t="str">
        <f>IF(ISBLANK(tab_invoices[[#This Row],['#]]),"",VLOOKUP(tab_invoices[[#This Row],['#]],tab_budget[['#]:[Rozpočtová kapitola]],9,FALSE))</f>
        <v/>
      </c>
      <c r="Q92" s="457" t="str">
        <f>IF(ISBLANK(tab_invoices[[#This Row],['#]]),"",VLOOKUP(tab_invoices[[#This Row],['#]],tab_budget[['#]:[Realizuje]],10,FALSE))</f>
        <v/>
      </c>
      <c r="R92" s="457"/>
      <c r="S92" s="457"/>
    </row>
    <row r="93" spans="1:19" s="307" customFormat="1" ht="10.199999999999999" x14ac:dyDescent="0.2">
      <c r="A93" s="451">
        <f t="shared" si="2"/>
        <v>84</v>
      </c>
      <c r="B93" s="452"/>
      <c r="C93" s="453"/>
      <c r="D93" s="454"/>
      <c r="E93" s="454"/>
      <c r="F93" s="452"/>
      <c r="G93" s="455"/>
      <c r="H93" s="455"/>
      <c r="I93" s="452"/>
      <c r="J93" s="452"/>
      <c r="K93" s="291">
        <f>tab_invoices[[#This Row],[Množstvo]]*tab_invoices[[#This Row],[Náklady na jednotku]]</f>
        <v>0</v>
      </c>
      <c r="L93" s="454"/>
      <c r="M93" s="292" t="str">
        <f>IF(ISBLANK(tab_invoices[[#This Row],['#]]),"",VLOOKUP(tab_invoices[[#This Row],['#]],tab_budget[['#]:[Rozpočtová položka]],2,FALSE))</f>
        <v/>
      </c>
      <c r="N93" s="457" t="str">
        <f>IF(ISBLANK(tab_invoices[[#This Row],['#]]),"",VLOOKUP(tab_invoices[[#This Row],['#]],tab_budget[['#]:[Typ výdavku]],7,FALSE))</f>
        <v/>
      </c>
      <c r="O93" s="457" t="str">
        <f>IF(ISBLANK(tab_invoices[[#This Row],['#]]),"",VLOOKUP(tab_invoices[[#This Row],['#]],tab_budget[['#]:[Rozpočtová položka]],8,FALSE))</f>
        <v/>
      </c>
      <c r="P93" s="457" t="str">
        <f>IF(ISBLANK(tab_invoices[[#This Row],['#]]),"",VLOOKUP(tab_invoices[[#This Row],['#]],tab_budget[['#]:[Rozpočtová kapitola]],9,FALSE))</f>
        <v/>
      </c>
      <c r="Q93" s="457" t="str">
        <f>IF(ISBLANK(tab_invoices[[#This Row],['#]]),"",VLOOKUP(tab_invoices[[#This Row],['#]],tab_budget[['#]:[Realizuje]],10,FALSE))</f>
        <v/>
      </c>
      <c r="R93" s="457"/>
      <c r="S93" s="457"/>
    </row>
    <row r="94" spans="1:19" s="307" customFormat="1" ht="10.199999999999999" x14ac:dyDescent="0.2">
      <c r="A94" s="451">
        <f t="shared" si="2"/>
        <v>85</v>
      </c>
      <c r="B94" s="452"/>
      <c r="C94" s="453"/>
      <c r="D94" s="454"/>
      <c r="E94" s="454"/>
      <c r="F94" s="452"/>
      <c r="G94" s="455"/>
      <c r="H94" s="455"/>
      <c r="I94" s="452"/>
      <c r="J94" s="452"/>
      <c r="K94" s="291">
        <f>tab_invoices[[#This Row],[Množstvo]]*tab_invoices[[#This Row],[Náklady na jednotku]]</f>
        <v>0</v>
      </c>
      <c r="L94" s="454"/>
      <c r="M94" s="292" t="str">
        <f>IF(ISBLANK(tab_invoices[[#This Row],['#]]),"",VLOOKUP(tab_invoices[[#This Row],['#]],tab_budget[['#]:[Rozpočtová položka]],2,FALSE))</f>
        <v/>
      </c>
      <c r="N94" s="457" t="str">
        <f>IF(ISBLANK(tab_invoices[[#This Row],['#]]),"",VLOOKUP(tab_invoices[[#This Row],['#]],tab_budget[['#]:[Typ výdavku]],7,FALSE))</f>
        <v/>
      </c>
      <c r="O94" s="457" t="str">
        <f>IF(ISBLANK(tab_invoices[[#This Row],['#]]),"",VLOOKUP(tab_invoices[[#This Row],['#]],tab_budget[['#]:[Rozpočtová položka]],8,FALSE))</f>
        <v/>
      </c>
      <c r="P94" s="457" t="str">
        <f>IF(ISBLANK(tab_invoices[[#This Row],['#]]),"",VLOOKUP(tab_invoices[[#This Row],['#]],tab_budget[['#]:[Rozpočtová kapitola]],9,FALSE))</f>
        <v/>
      </c>
      <c r="Q94" s="457" t="str">
        <f>IF(ISBLANK(tab_invoices[[#This Row],['#]]),"",VLOOKUP(tab_invoices[[#This Row],['#]],tab_budget[['#]:[Realizuje]],10,FALSE))</f>
        <v/>
      </c>
      <c r="R94" s="457"/>
      <c r="S94" s="457"/>
    </row>
    <row r="95" spans="1:19" s="307" customFormat="1" ht="10.199999999999999" x14ac:dyDescent="0.2">
      <c r="A95" s="451">
        <f t="shared" si="2"/>
        <v>86</v>
      </c>
      <c r="B95" s="452"/>
      <c r="C95" s="453"/>
      <c r="D95" s="454"/>
      <c r="E95" s="454"/>
      <c r="F95" s="452"/>
      <c r="G95" s="455"/>
      <c r="H95" s="455"/>
      <c r="I95" s="452"/>
      <c r="J95" s="452"/>
      <c r="K95" s="291">
        <f>tab_invoices[[#This Row],[Množstvo]]*tab_invoices[[#This Row],[Náklady na jednotku]]</f>
        <v>0</v>
      </c>
      <c r="L95" s="454"/>
      <c r="M95" s="292" t="str">
        <f>IF(ISBLANK(tab_invoices[[#This Row],['#]]),"",VLOOKUP(tab_invoices[[#This Row],['#]],tab_budget[['#]:[Rozpočtová položka]],2,FALSE))</f>
        <v/>
      </c>
      <c r="N95" s="457" t="str">
        <f>IF(ISBLANK(tab_invoices[[#This Row],['#]]),"",VLOOKUP(tab_invoices[[#This Row],['#]],tab_budget[['#]:[Typ výdavku]],7,FALSE))</f>
        <v/>
      </c>
      <c r="O95" s="457" t="str">
        <f>IF(ISBLANK(tab_invoices[[#This Row],['#]]),"",VLOOKUP(tab_invoices[[#This Row],['#]],tab_budget[['#]:[Rozpočtová položka]],8,FALSE))</f>
        <v/>
      </c>
      <c r="P95" s="457" t="str">
        <f>IF(ISBLANK(tab_invoices[[#This Row],['#]]),"",VLOOKUP(tab_invoices[[#This Row],['#]],tab_budget[['#]:[Rozpočtová kapitola]],9,FALSE))</f>
        <v/>
      </c>
      <c r="Q95" s="457" t="str">
        <f>IF(ISBLANK(tab_invoices[[#This Row],['#]]),"",VLOOKUP(tab_invoices[[#This Row],['#]],tab_budget[['#]:[Realizuje]],10,FALSE))</f>
        <v/>
      </c>
      <c r="R95" s="457"/>
      <c r="S95" s="457"/>
    </row>
    <row r="96" spans="1:19" s="307" customFormat="1" ht="10.199999999999999" x14ac:dyDescent="0.2">
      <c r="A96" s="451">
        <f t="shared" si="2"/>
        <v>87</v>
      </c>
      <c r="B96" s="452"/>
      <c r="C96" s="453"/>
      <c r="D96" s="454"/>
      <c r="E96" s="454"/>
      <c r="F96" s="452"/>
      <c r="G96" s="455"/>
      <c r="H96" s="455"/>
      <c r="I96" s="452"/>
      <c r="J96" s="452"/>
      <c r="K96" s="291">
        <f>tab_invoices[[#This Row],[Množstvo]]*tab_invoices[[#This Row],[Náklady na jednotku]]</f>
        <v>0</v>
      </c>
      <c r="L96" s="454"/>
      <c r="M96" s="292" t="str">
        <f>IF(ISBLANK(tab_invoices[[#This Row],['#]]),"",VLOOKUP(tab_invoices[[#This Row],['#]],tab_budget[['#]:[Rozpočtová položka]],2,FALSE))</f>
        <v/>
      </c>
      <c r="N96" s="457" t="str">
        <f>IF(ISBLANK(tab_invoices[[#This Row],['#]]),"",VLOOKUP(tab_invoices[[#This Row],['#]],tab_budget[['#]:[Typ výdavku]],7,FALSE))</f>
        <v/>
      </c>
      <c r="O96" s="457" t="str">
        <f>IF(ISBLANK(tab_invoices[[#This Row],['#]]),"",VLOOKUP(tab_invoices[[#This Row],['#]],tab_budget[['#]:[Rozpočtová položka]],8,FALSE))</f>
        <v/>
      </c>
      <c r="P96" s="457" t="str">
        <f>IF(ISBLANK(tab_invoices[[#This Row],['#]]),"",VLOOKUP(tab_invoices[[#This Row],['#]],tab_budget[['#]:[Rozpočtová kapitola]],9,FALSE))</f>
        <v/>
      </c>
      <c r="Q96" s="457" t="str">
        <f>IF(ISBLANK(tab_invoices[[#This Row],['#]]),"",VLOOKUP(tab_invoices[[#This Row],['#]],tab_budget[['#]:[Realizuje]],10,FALSE))</f>
        <v/>
      </c>
      <c r="R96" s="457"/>
      <c r="S96" s="457"/>
    </row>
    <row r="97" spans="1:19" s="307" customFormat="1" ht="10.199999999999999" x14ac:dyDescent="0.2">
      <c r="A97" s="451">
        <f t="shared" si="2"/>
        <v>88</v>
      </c>
      <c r="B97" s="452"/>
      <c r="C97" s="453"/>
      <c r="D97" s="454"/>
      <c r="E97" s="454"/>
      <c r="F97" s="452"/>
      <c r="G97" s="455"/>
      <c r="H97" s="455"/>
      <c r="I97" s="452"/>
      <c r="J97" s="452"/>
      <c r="K97" s="291">
        <f>tab_invoices[[#This Row],[Množstvo]]*tab_invoices[[#This Row],[Náklady na jednotku]]</f>
        <v>0</v>
      </c>
      <c r="L97" s="454"/>
      <c r="M97" s="292" t="str">
        <f>IF(ISBLANK(tab_invoices[[#This Row],['#]]),"",VLOOKUP(tab_invoices[[#This Row],['#]],tab_budget[['#]:[Rozpočtová položka]],2,FALSE))</f>
        <v/>
      </c>
      <c r="N97" s="457" t="str">
        <f>IF(ISBLANK(tab_invoices[[#This Row],['#]]),"",VLOOKUP(tab_invoices[[#This Row],['#]],tab_budget[['#]:[Typ výdavku]],7,FALSE))</f>
        <v/>
      </c>
      <c r="O97" s="457" t="str">
        <f>IF(ISBLANK(tab_invoices[[#This Row],['#]]),"",VLOOKUP(tab_invoices[[#This Row],['#]],tab_budget[['#]:[Rozpočtová položka]],8,FALSE))</f>
        <v/>
      </c>
      <c r="P97" s="457" t="str">
        <f>IF(ISBLANK(tab_invoices[[#This Row],['#]]),"",VLOOKUP(tab_invoices[[#This Row],['#]],tab_budget[['#]:[Rozpočtová kapitola]],9,FALSE))</f>
        <v/>
      </c>
      <c r="Q97" s="457" t="str">
        <f>IF(ISBLANK(tab_invoices[[#This Row],['#]]),"",VLOOKUP(tab_invoices[[#This Row],['#]],tab_budget[['#]:[Realizuje]],10,FALSE))</f>
        <v/>
      </c>
      <c r="R97" s="457"/>
      <c r="S97" s="457"/>
    </row>
    <row r="98" spans="1:19" s="307" customFormat="1" ht="10.199999999999999" x14ac:dyDescent="0.2">
      <c r="A98" s="451">
        <f t="shared" si="2"/>
        <v>89</v>
      </c>
      <c r="B98" s="452"/>
      <c r="C98" s="453"/>
      <c r="D98" s="454"/>
      <c r="E98" s="454"/>
      <c r="F98" s="452"/>
      <c r="G98" s="455"/>
      <c r="H98" s="455"/>
      <c r="I98" s="452"/>
      <c r="J98" s="452"/>
      <c r="K98" s="291">
        <f>tab_invoices[[#This Row],[Množstvo]]*tab_invoices[[#This Row],[Náklady na jednotku]]</f>
        <v>0</v>
      </c>
      <c r="L98" s="454"/>
      <c r="M98" s="292" t="str">
        <f>IF(ISBLANK(tab_invoices[[#This Row],['#]]),"",VLOOKUP(tab_invoices[[#This Row],['#]],tab_budget[['#]:[Rozpočtová položka]],2,FALSE))</f>
        <v/>
      </c>
      <c r="N98" s="457" t="str">
        <f>IF(ISBLANK(tab_invoices[[#This Row],['#]]),"",VLOOKUP(tab_invoices[[#This Row],['#]],tab_budget[['#]:[Typ výdavku]],7,FALSE))</f>
        <v/>
      </c>
      <c r="O98" s="457" t="str">
        <f>IF(ISBLANK(tab_invoices[[#This Row],['#]]),"",VLOOKUP(tab_invoices[[#This Row],['#]],tab_budget[['#]:[Rozpočtová položka]],8,FALSE))</f>
        <v/>
      </c>
      <c r="P98" s="457" t="str">
        <f>IF(ISBLANK(tab_invoices[[#This Row],['#]]),"",VLOOKUP(tab_invoices[[#This Row],['#]],tab_budget[['#]:[Rozpočtová kapitola]],9,FALSE))</f>
        <v/>
      </c>
      <c r="Q98" s="457" t="str">
        <f>IF(ISBLANK(tab_invoices[[#This Row],['#]]),"",VLOOKUP(tab_invoices[[#This Row],['#]],tab_budget[['#]:[Realizuje]],10,FALSE))</f>
        <v/>
      </c>
      <c r="R98" s="457"/>
      <c r="S98" s="457"/>
    </row>
    <row r="99" spans="1:19" s="307" customFormat="1" ht="10.199999999999999" x14ac:dyDescent="0.2">
      <c r="A99" s="451">
        <f t="shared" si="2"/>
        <v>90</v>
      </c>
      <c r="B99" s="452"/>
      <c r="C99" s="453"/>
      <c r="D99" s="454"/>
      <c r="E99" s="454"/>
      <c r="F99" s="452"/>
      <c r="G99" s="455"/>
      <c r="H99" s="455"/>
      <c r="I99" s="452"/>
      <c r="J99" s="452"/>
      <c r="K99" s="291">
        <f>tab_invoices[[#This Row],[Množstvo]]*tab_invoices[[#This Row],[Náklady na jednotku]]</f>
        <v>0</v>
      </c>
      <c r="L99" s="454"/>
      <c r="M99" s="292" t="str">
        <f>IF(ISBLANK(tab_invoices[[#This Row],['#]]),"",VLOOKUP(tab_invoices[[#This Row],['#]],tab_budget[['#]:[Rozpočtová položka]],2,FALSE))</f>
        <v/>
      </c>
      <c r="N99" s="457" t="str">
        <f>IF(ISBLANK(tab_invoices[[#This Row],['#]]),"",VLOOKUP(tab_invoices[[#This Row],['#]],tab_budget[['#]:[Typ výdavku]],7,FALSE))</f>
        <v/>
      </c>
      <c r="O99" s="457" t="str">
        <f>IF(ISBLANK(tab_invoices[[#This Row],['#]]),"",VLOOKUP(tab_invoices[[#This Row],['#]],tab_budget[['#]:[Rozpočtová položka]],8,FALSE))</f>
        <v/>
      </c>
      <c r="P99" s="457" t="str">
        <f>IF(ISBLANK(tab_invoices[[#This Row],['#]]),"",VLOOKUP(tab_invoices[[#This Row],['#]],tab_budget[['#]:[Rozpočtová kapitola]],9,FALSE))</f>
        <v/>
      </c>
      <c r="Q99" s="457" t="str">
        <f>IF(ISBLANK(tab_invoices[[#This Row],['#]]),"",VLOOKUP(tab_invoices[[#This Row],['#]],tab_budget[['#]:[Realizuje]],10,FALSE))</f>
        <v/>
      </c>
      <c r="R99" s="457"/>
      <c r="S99" s="457"/>
    </row>
    <row r="100" spans="1:19" s="307" customFormat="1" ht="10.199999999999999" x14ac:dyDescent="0.2">
      <c r="A100" s="451">
        <f t="shared" si="2"/>
        <v>91</v>
      </c>
      <c r="B100" s="452"/>
      <c r="C100" s="453"/>
      <c r="D100" s="454"/>
      <c r="E100" s="454"/>
      <c r="F100" s="452"/>
      <c r="G100" s="455"/>
      <c r="H100" s="455"/>
      <c r="I100" s="452"/>
      <c r="J100" s="452"/>
      <c r="K100" s="291">
        <f>tab_invoices[[#This Row],[Množstvo]]*tab_invoices[[#This Row],[Náklady na jednotku]]</f>
        <v>0</v>
      </c>
      <c r="L100" s="454"/>
      <c r="M100" s="292" t="str">
        <f>IF(ISBLANK(tab_invoices[[#This Row],['#]]),"",VLOOKUP(tab_invoices[[#This Row],['#]],tab_budget[['#]:[Rozpočtová položka]],2,FALSE))</f>
        <v/>
      </c>
      <c r="N100" s="457" t="str">
        <f>IF(ISBLANK(tab_invoices[[#This Row],['#]]),"",VLOOKUP(tab_invoices[[#This Row],['#]],tab_budget[['#]:[Typ výdavku]],7,FALSE))</f>
        <v/>
      </c>
      <c r="O100" s="457" t="str">
        <f>IF(ISBLANK(tab_invoices[[#This Row],['#]]),"",VLOOKUP(tab_invoices[[#This Row],['#]],tab_budget[['#]:[Rozpočtová položka]],8,FALSE))</f>
        <v/>
      </c>
      <c r="P100" s="457" t="str">
        <f>IF(ISBLANK(tab_invoices[[#This Row],['#]]),"",VLOOKUP(tab_invoices[[#This Row],['#]],tab_budget[['#]:[Rozpočtová kapitola]],9,FALSE))</f>
        <v/>
      </c>
      <c r="Q100" s="457" t="str">
        <f>IF(ISBLANK(tab_invoices[[#This Row],['#]]),"",VLOOKUP(tab_invoices[[#This Row],['#]],tab_budget[['#]:[Realizuje]],10,FALSE))</f>
        <v/>
      </c>
      <c r="R100" s="457"/>
      <c r="S100" s="457"/>
    </row>
    <row r="101" spans="1:19" s="307" customFormat="1" ht="10.199999999999999" x14ac:dyDescent="0.2">
      <c r="A101" s="451">
        <f t="shared" si="2"/>
        <v>92</v>
      </c>
      <c r="B101" s="452"/>
      <c r="C101" s="453"/>
      <c r="D101" s="454"/>
      <c r="E101" s="454"/>
      <c r="F101" s="452"/>
      <c r="G101" s="455"/>
      <c r="H101" s="455"/>
      <c r="I101" s="452"/>
      <c r="J101" s="452"/>
      <c r="K101" s="291">
        <f>tab_invoices[[#This Row],[Množstvo]]*tab_invoices[[#This Row],[Náklady na jednotku]]</f>
        <v>0</v>
      </c>
      <c r="L101" s="454"/>
      <c r="M101" s="292" t="str">
        <f>IF(ISBLANK(tab_invoices[[#This Row],['#]]),"",VLOOKUP(tab_invoices[[#This Row],['#]],tab_budget[['#]:[Rozpočtová položka]],2,FALSE))</f>
        <v/>
      </c>
      <c r="N101" s="457" t="str">
        <f>IF(ISBLANK(tab_invoices[[#This Row],['#]]),"",VLOOKUP(tab_invoices[[#This Row],['#]],tab_budget[['#]:[Typ výdavku]],7,FALSE))</f>
        <v/>
      </c>
      <c r="O101" s="457" t="str">
        <f>IF(ISBLANK(tab_invoices[[#This Row],['#]]),"",VLOOKUP(tab_invoices[[#This Row],['#]],tab_budget[['#]:[Rozpočtová položka]],8,FALSE))</f>
        <v/>
      </c>
      <c r="P101" s="457" t="str">
        <f>IF(ISBLANK(tab_invoices[[#This Row],['#]]),"",VLOOKUP(tab_invoices[[#This Row],['#]],tab_budget[['#]:[Rozpočtová kapitola]],9,FALSE))</f>
        <v/>
      </c>
      <c r="Q101" s="457" t="str">
        <f>IF(ISBLANK(tab_invoices[[#This Row],['#]]),"",VLOOKUP(tab_invoices[[#This Row],['#]],tab_budget[['#]:[Realizuje]],10,FALSE))</f>
        <v/>
      </c>
      <c r="R101" s="457"/>
      <c r="S101" s="457"/>
    </row>
    <row r="102" spans="1:19" s="307" customFormat="1" ht="10.199999999999999" x14ac:dyDescent="0.2">
      <c r="A102" s="451">
        <f t="shared" si="2"/>
        <v>93</v>
      </c>
      <c r="B102" s="452"/>
      <c r="C102" s="453"/>
      <c r="D102" s="454"/>
      <c r="E102" s="454"/>
      <c r="F102" s="452"/>
      <c r="G102" s="455"/>
      <c r="H102" s="455"/>
      <c r="I102" s="452"/>
      <c r="J102" s="452"/>
      <c r="K102" s="291">
        <f>tab_invoices[[#This Row],[Množstvo]]*tab_invoices[[#This Row],[Náklady na jednotku]]</f>
        <v>0</v>
      </c>
      <c r="L102" s="454"/>
      <c r="M102" s="292" t="str">
        <f>IF(ISBLANK(tab_invoices[[#This Row],['#]]),"",VLOOKUP(tab_invoices[[#This Row],['#]],tab_budget[['#]:[Rozpočtová položka]],2,FALSE))</f>
        <v/>
      </c>
      <c r="N102" s="457" t="str">
        <f>IF(ISBLANK(tab_invoices[[#This Row],['#]]),"",VLOOKUP(tab_invoices[[#This Row],['#]],tab_budget[['#]:[Typ výdavku]],7,FALSE))</f>
        <v/>
      </c>
      <c r="O102" s="457" t="str">
        <f>IF(ISBLANK(tab_invoices[[#This Row],['#]]),"",VLOOKUP(tab_invoices[[#This Row],['#]],tab_budget[['#]:[Rozpočtová položka]],8,FALSE))</f>
        <v/>
      </c>
      <c r="P102" s="457" t="str">
        <f>IF(ISBLANK(tab_invoices[[#This Row],['#]]),"",VLOOKUP(tab_invoices[[#This Row],['#]],tab_budget[['#]:[Rozpočtová kapitola]],9,FALSE))</f>
        <v/>
      </c>
      <c r="Q102" s="457" t="str">
        <f>IF(ISBLANK(tab_invoices[[#This Row],['#]]),"",VLOOKUP(tab_invoices[[#This Row],['#]],tab_budget[['#]:[Realizuje]],10,FALSE))</f>
        <v/>
      </c>
      <c r="R102" s="457"/>
      <c r="S102" s="457"/>
    </row>
    <row r="103" spans="1:19" s="307" customFormat="1" ht="10.199999999999999" x14ac:dyDescent="0.2">
      <c r="A103" s="451">
        <f t="shared" si="2"/>
        <v>94</v>
      </c>
      <c r="B103" s="452"/>
      <c r="C103" s="453"/>
      <c r="D103" s="454"/>
      <c r="E103" s="454"/>
      <c r="F103" s="452"/>
      <c r="G103" s="455"/>
      <c r="H103" s="455"/>
      <c r="I103" s="452"/>
      <c r="J103" s="452"/>
      <c r="K103" s="291">
        <f>tab_invoices[[#This Row],[Množstvo]]*tab_invoices[[#This Row],[Náklady na jednotku]]</f>
        <v>0</v>
      </c>
      <c r="L103" s="454"/>
      <c r="M103" s="292" t="str">
        <f>IF(ISBLANK(tab_invoices[[#This Row],['#]]),"",VLOOKUP(tab_invoices[[#This Row],['#]],tab_budget[['#]:[Rozpočtová položka]],2,FALSE))</f>
        <v/>
      </c>
      <c r="N103" s="457" t="str">
        <f>IF(ISBLANK(tab_invoices[[#This Row],['#]]),"",VLOOKUP(tab_invoices[[#This Row],['#]],tab_budget[['#]:[Typ výdavku]],7,FALSE))</f>
        <v/>
      </c>
      <c r="O103" s="457" t="str">
        <f>IF(ISBLANK(tab_invoices[[#This Row],['#]]),"",VLOOKUP(tab_invoices[[#This Row],['#]],tab_budget[['#]:[Rozpočtová položka]],8,FALSE))</f>
        <v/>
      </c>
      <c r="P103" s="457" t="str">
        <f>IF(ISBLANK(tab_invoices[[#This Row],['#]]),"",VLOOKUP(tab_invoices[[#This Row],['#]],tab_budget[['#]:[Rozpočtová kapitola]],9,FALSE))</f>
        <v/>
      </c>
      <c r="Q103" s="457" t="str">
        <f>IF(ISBLANK(tab_invoices[[#This Row],['#]]),"",VLOOKUP(tab_invoices[[#This Row],['#]],tab_budget[['#]:[Realizuje]],10,FALSE))</f>
        <v/>
      </c>
      <c r="R103" s="457"/>
      <c r="S103" s="457"/>
    </row>
    <row r="104" spans="1:19" s="307" customFormat="1" ht="10.199999999999999" x14ac:dyDescent="0.2">
      <c r="A104" s="451">
        <f t="shared" si="2"/>
        <v>95</v>
      </c>
      <c r="B104" s="452"/>
      <c r="C104" s="453"/>
      <c r="D104" s="454"/>
      <c r="E104" s="454"/>
      <c r="F104" s="452"/>
      <c r="G104" s="455"/>
      <c r="H104" s="455"/>
      <c r="I104" s="452"/>
      <c r="J104" s="452"/>
      <c r="K104" s="291">
        <f>tab_invoices[[#This Row],[Množstvo]]*tab_invoices[[#This Row],[Náklady na jednotku]]</f>
        <v>0</v>
      </c>
      <c r="L104" s="454"/>
      <c r="M104" s="292" t="str">
        <f>IF(ISBLANK(tab_invoices[[#This Row],['#]]),"",VLOOKUP(tab_invoices[[#This Row],['#]],tab_budget[['#]:[Rozpočtová položka]],2,FALSE))</f>
        <v/>
      </c>
      <c r="N104" s="457" t="str">
        <f>IF(ISBLANK(tab_invoices[[#This Row],['#]]),"",VLOOKUP(tab_invoices[[#This Row],['#]],tab_budget[['#]:[Typ výdavku]],7,FALSE))</f>
        <v/>
      </c>
      <c r="O104" s="457" t="str">
        <f>IF(ISBLANK(tab_invoices[[#This Row],['#]]),"",VLOOKUP(tab_invoices[[#This Row],['#]],tab_budget[['#]:[Rozpočtová položka]],8,FALSE))</f>
        <v/>
      </c>
      <c r="P104" s="457" t="str">
        <f>IF(ISBLANK(tab_invoices[[#This Row],['#]]),"",VLOOKUP(tab_invoices[[#This Row],['#]],tab_budget[['#]:[Rozpočtová kapitola]],9,FALSE))</f>
        <v/>
      </c>
      <c r="Q104" s="457" t="str">
        <f>IF(ISBLANK(tab_invoices[[#This Row],['#]]),"",VLOOKUP(tab_invoices[[#This Row],['#]],tab_budget[['#]:[Realizuje]],10,FALSE))</f>
        <v/>
      </c>
      <c r="R104" s="457"/>
      <c r="S104" s="457"/>
    </row>
    <row r="105" spans="1:19" s="307" customFormat="1" ht="10.199999999999999" x14ac:dyDescent="0.2">
      <c r="A105" s="451">
        <f t="shared" si="2"/>
        <v>96</v>
      </c>
      <c r="B105" s="452"/>
      <c r="C105" s="453"/>
      <c r="D105" s="454"/>
      <c r="E105" s="454"/>
      <c r="F105" s="452"/>
      <c r="G105" s="455"/>
      <c r="H105" s="455"/>
      <c r="I105" s="452"/>
      <c r="J105" s="452"/>
      <c r="K105" s="291">
        <f>tab_invoices[[#This Row],[Množstvo]]*tab_invoices[[#This Row],[Náklady na jednotku]]</f>
        <v>0</v>
      </c>
      <c r="L105" s="454"/>
      <c r="M105" s="292" t="str">
        <f>IF(ISBLANK(tab_invoices[[#This Row],['#]]),"",VLOOKUP(tab_invoices[[#This Row],['#]],tab_budget[['#]:[Rozpočtová položka]],2,FALSE))</f>
        <v/>
      </c>
      <c r="N105" s="457" t="str">
        <f>IF(ISBLANK(tab_invoices[[#This Row],['#]]),"",VLOOKUP(tab_invoices[[#This Row],['#]],tab_budget[['#]:[Typ výdavku]],7,FALSE))</f>
        <v/>
      </c>
      <c r="O105" s="457" t="str">
        <f>IF(ISBLANK(tab_invoices[[#This Row],['#]]),"",VLOOKUP(tab_invoices[[#This Row],['#]],tab_budget[['#]:[Rozpočtová položka]],8,FALSE))</f>
        <v/>
      </c>
      <c r="P105" s="457" t="str">
        <f>IF(ISBLANK(tab_invoices[[#This Row],['#]]),"",VLOOKUP(tab_invoices[[#This Row],['#]],tab_budget[['#]:[Rozpočtová kapitola]],9,FALSE))</f>
        <v/>
      </c>
      <c r="Q105" s="457" t="str">
        <f>IF(ISBLANK(tab_invoices[[#This Row],['#]]),"",VLOOKUP(tab_invoices[[#This Row],['#]],tab_budget[['#]:[Realizuje]],10,FALSE))</f>
        <v/>
      </c>
      <c r="R105" s="457"/>
      <c r="S105" s="457"/>
    </row>
    <row r="106" spans="1:19" s="307" customFormat="1" ht="10.199999999999999" x14ac:dyDescent="0.2">
      <c r="A106" s="451">
        <f t="shared" si="2"/>
        <v>97</v>
      </c>
      <c r="B106" s="452"/>
      <c r="C106" s="453"/>
      <c r="D106" s="454"/>
      <c r="E106" s="454"/>
      <c r="F106" s="452"/>
      <c r="G106" s="455"/>
      <c r="H106" s="455"/>
      <c r="I106" s="452"/>
      <c r="J106" s="452"/>
      <c r="K106" s="291">
        <f>tab_invoices[[#This Row],[Množstvo]]*tab_invoices[[#This Row],[Náklady na jednotku]]</f>
        <v>0</v>
      </c>
      <c r="L106" s="454"/>
      <c r="M106" s="292" t="str">
        <f>IF(ISBLANK(tab_invoices[[#This Row],['#]]),"",VLOOKUP(tab_invoices[[#This Row],['#]],tab_budget[['#]:[Rozpočtová položka]],2,FALSE))</f>
        <v/>
      </c>
      <c r="N106" s="457" t="str">
        <f>IF(ISBLANK(tab_invoices[[#This Row],['#]]),"",VLOOKUP(tab_invoices[[#This Row],['#]],tab_budget[['#]:[Typ výdavku]],7,FALSE))</f>
        <v/>
      </c>
      <c r="O106" s="457" t="str">
        <f>IF(ISBLANK(tab_invoices[[#This Row],['#]]),"",VLOOKUP(tab_invoices[[#This Row],['#]],tab_budget[['#]:[Rozpočtová položka]],8,FALSE))</f>
        <v/>
      </c>
      <c r="P106" s="457" t="str">
        <f>IF(ISBLANK(tab_invoices[[#This Row],['#]]),"",VLOOKUP(tab_invoices[[#This Row],['#]],tab_budget[['#]:[Rozpočtová kapitola]],9,FALSE))</f>
        <v/>
      </c>
      <c r="Q106" s="457" t="str">
        <f>IF(ISBLANK(tab_invoices[[#This Row],['#]]),"",VLOOKUP(tab_invoices[[#This Row],['#]],tab_budget[['#]:[Realizuje]],10,FALSE))</f>
        <v/>
      </c>
      <c r="R106" s="457"/>
      <c r="S106" s="457"/>
    </row>
    <row r="107" spans="1:19" s="307" customFormat="1" ht="10.199999999999999" x14ac:dyDescent="0.2">
      <c r="A107" s="451">
        <f t="shared" ref="A107:A138" si="3">ROW(B107)-9</f>
        <v>98</v>
      </c>
      <c r="B107" s="452"/>
      <c r="C107" s="453"/>
      <c r="D107" s="454"/>
      <c r="E107" s="454"/>
      <c r="F107" s="452"/>
      <c r="G107" s="455"/>
      <c r="H107" s="455"/>
      <c r="I107" s="452"/>
      <c r="J107" s="452"/>
      <c r="K107" s="291">
        <f>tab_invoices[[#This Row],[Množstvo]]*tab_invoices[[#This Row],[Náklady na jednotku]]</f>
        <v>0</v>
      </c>
      <c r="L107" s="454"/>
      <c r="M107" s="292" t="str">
        <f>IF(ISBLANK(tab_invoices[[#This Row],['#]]),"",VLOOKUP(tab_invoices[[#This Row],['#]],tab_budget[['#]:[Rozpočtová položka]],2,FALSE))</f>
        <v/>
      </c>
      <c r="N107" s="457" t="str">
        <f>IF(ISBLANK(tab_invoices[[#This Row],['#]]),"",VLOOKUP(tab_invoices[[#This Row],['#]],tab_budget[['#]:[Typ výdavku]],7,FALSE))</f>
        <v/>
      </c>
      <c r="O107" s="457" t="str">
        <f>IF(ISBLANK(tab_invoices[[#This Row],['#]]),"",VLOOKUP(tab_invoices[[#This Row],['#]],tab_budget[['#]:[Rozpočtová položka]],8,FALSE))</f>
        <v/>
      </c>
      <c r="P107" s="457" t="str">
        <f>IF(ISBLANK(tab_invoices[[#This Row],['#]]),"",VLOOKUP(tab_invoices[[#This Row],['#]],tab_budget[['#]:[Rozpočtová kapitola]],9,FALSE))</f>
        <v/>
      </c>
      <c r="Q107" s="457" t="str">
        <f>IF(ISBLANK(tab_invoices[[#This Row],['#]]),"",VLOOKUP(tab_invoices[[#This Row],['#]],tab_budget[['#]:[Realizuje]],10,FALSE))</f>
        <v/>
      </c>
      <c r="R107" s="457"/>
      <c r="S107" s="457"/>
    </row>
    <row r="108" spans="1:19" s="307" customFormat="1" ht="10.199999999999999" x14ac:dyDescent="0.2">
      <c r="A108" s="451">
        <f t="shared" si="3"/>
        <v>99</v>
      </c>
      <c r="B108" s="452"/>
      <c r="C108" s="453"/>
      <c r="D108" s="454"/>
      <c r="E108" s="454"/>
      <c r="F108" s="452"/>
      <c r="G108" s="455"/>
      <c r="H108" s="455"/>
      <c r="I108" s="452"/>
      <c r="J108" s="452"/>
      <c r="K108" s="291">
        <f>tab_invoices[[#This Row],[Množstvo]]*tab_invoices[[#This Row],[Náklady na jednotku]]</f>
        <v>0</v>
      </c>
      <c r="L108" s="454"/>
      <c r="M108" s="292" t="str">
        <f>IF(ISBLANK(tab_invoices[[#This Row],['#]]),"",VLOOKUP(tab_invoices[[#This Row],['#]],tab_budget[['#]:[Rozpočtová položka]],2,FALSE))</f>
        <v/>
      </c>
      <c r="N108" s="457" t="str">
        <f>IF(ISBLANK(tab_invoices[[#This Row],['#]]),"",VLOOKUP(tab_invoices[[#This Row],['#]],tab_budget[['#]:[Typ výdavku]],7,FALSE))</f>
        <v/>
      </c>
      <c r="O108" s="457" t="str">
        <f>IF(ISBLANK(tab_invoices[[#This Row],['#]]),"",VLOOKUP(tab_invoices[[#This Row],['#]],tab_budget[['#]:[Rozpočtová položka]],8,FALSE))</f>
        <v/>
      </c>
      <c r="P108" s="457" t="str">
        <f>IF(ISBLANK(tab_invoices[[#This Row],['#]]),"",VLOOKUP(tab_invoices[[#This Row],['#]],tab_budget[['#]:[Rozpočtová kapitola]],9,FALSE))</f>
        <v/>
      </c>
      <c r="Q108" s="457" t="str">
        <f>IF(ISBLANK(tab_invoices[[#This Row],['#]]),"",VLOOKUP(tab_invoices[[#This Row],['#]],tab_budget[['#]:[Realizuje]],10,FALSE))</f>
        <v/>
      </c>
      <c r="R108" s="457"/>
      <c r="S108" s="457"/>
    </row>
    <row r="109" spans="1:19" s="307" customFormat="1" ht="10.199999999999999" x14ac:dyDescent="0.2">
      <c r="A109" s="451">
        <f t="shared" si="3"/>
        <v>100</v>
      </c>
      <c r="B109" s="452"/>
      <c r="C109" s="453"/>
      <c r="D109" s="454"/>
      <c r="E109" s="454"/>
      <c r="F109" s="452"/>
      <c r="G109" s="455"/>
      <c r="H109" s="455"/>
      <c r="I109" s="452"/>
      <c r="J109" s="452"/>
      <c r="K109" s="291">
        <f>tab_invoices[[#This Row],[Množstvo]]*tab_invoices[[#This Row],[Náklady na jednotku]]</f>
        <v>0</v>
      </c>
      <c r="L109" s="454"/>
      <c r="M109" s="292" t="str">
        <f>IF(ISBLANK(tab_invoices[[#This Row],['#]]),"",VLOOKUP(tab_invoices[[#This Row],['#]],tab_budget[['#]:[Rozpočtová položka]],2,FALSE))</f>
        <v/>
      </c>
      <c r="N109" s="457" t="str">
        <f>IF(ISBLANK(tab_invoices[[#This Row],['#]]),"",VLOOKUP(tab_invoices[[#This Row],['#]],tab_budget[['#]:[Typ výdavku]],7,FALSE))</f>
        <v/>
      </c>
      <c r="O109" s="457" t="str">
        <f>IF(ISBLANK(tab_invoices[[#This Row],['#]]),"",VLOOKUP(tab_invoices[[#This Row],['#]],tab_budget[['#]:[Rozpočtová položka]],8,FALSE))</f>
        <v/>
      </c>
      <c r="P109" s="457" t="str">
        <f>IF(ISBLANK(tab_invoices[[#This Row],['#]]),"",VLOOKUP(tab_invoices[[#This Row],['#]],tab_budget[['#]:[Rozpočtová kapitola]],9,FALSE))</f>
        <v/>
      </c>
      <c r="Q109" s="457" t="str">
        <f>IF(ISBLANK(tab_invoices[[#This Row],['#]]),"",VLOOKUP(tab_invoices[[#This Row],['#]],tab_budget[['#]:[Realizuje]],10,FALSE))</f>
        <v/>
      </c>
      <c r="R109" s="457"/>
      <c r="S109" s="457"/>
    </row>
    <row r="110" spans="1:19" s="307" customFormat="1" ht="10.199999999999999" x14ac:dyDescent="0.2">
      <c r="A110" s="451">
        <f t="shared" si="3"/>
        <v>101</v>
      </c>
      <c r="B110" s="452"/>
      <c r="C110" s="453"/>
      <c r="D110" s="454"/>
      <c r="E110" s="454"/>
      <c r="F110" s="452"/>
      <c r="G110" s="455"/>
      <c r="H110" s="455"/>
      <c r="I110" s="452"/>
      <c r="J110" s="452"/>
      <c r="K110" s="291">
        <f>tab_invoices[[#This Row],[Množstvo]]*tab_invoices[[#This Row],[Náklady na jednotku]]</f>
        <v>0</v>
      </c>
      <c r="L110" s="454"/>
      <c r="M110" s="292" t="str">
        <f>IF(ISBLANK(tab_invoices[[#This Row],['#]]),"",VLOOKUP(tab_invoices[[#This Row],['#]],tab_budget[['#]:[Rozpočtová položka]],2,FALSE))</f>
        <v/>
      </c>
      <c r="N110" s="457" t="str">
        <f>IF(ISBLANK(tab_invoices[[#This Row],['#]]),"",VLOOKUP(tab_invoices[[#This Row],['#]],tab_budget[['#]:[Typ výdavku]],7,FALSE))</f>
        <v/>
      </c>
      <c r="O110" s="457" t="str">
        <f>IF(ISBLANK(tab_invoices[[#This Row],['#]]),"",VLOOKUP(tab_invoices[[#This Row],['#]],tab_budget[['#]:[Rozpočtová položka]],8,FALSE))</f>
        <v/>
      </c>
      <c r="P110" s="457" t="str">
        <f>IF(ISBLANK(tab_invoices[[#This Row],['#]]),"",VLOOKUP(tab_invoices[[#This Row],['#]],tab_budget[['#]:[Rozpočtová kapitola]],9,FALSE))</f>
        <v/>
      </c>
      <c r="Q110" s="457" t="str">
        <f>IF(ISBLANK(tab_invoices[[#This Row],['#]]),"",VLOOKUP(tab_invoices[[#This Row],['#]],tab_budget[['#]:[Realizuje]],10,FALSE))</f>
        <v/>
      </c>
      <c r="R110" s="457"/>
      <c r="S110" s="457"/>
    </row>
    <row r="111" spans="1:19" s="307" customFormat="1" ht="10.199999999999999" x14ac:dyDescent="0.2">
      <c r="A111" s="451">
        <f t="shared" si="3"/>
        <v>102</v>
      </c>
      <c r="B111" s="452"/>
      <c r="C111" s="453"/>
      <c r="D111" s="454"/>
      <c r="E111" s="454"/>
      <c r="F111" s="452"/>
      <c r="G111" s="455"/>
      <c r="H111" s="455"/>
      <c r="I111" s="452"/>
      <c r="J111" s="452"/>
      <c r="K111" s="291">
        <f>tab_invoices[[#This Row],[Množstvo]]*tab_invoices[[#This Row],[Náklady na jednotku]]</f>
        <v>0</v>
      </c>
      <c r="L111" s="454"/>
      <c r="M111" s="292" t="str">
        <f>IF(ISBLANK(tab_invoices[[#This Row],['#]]),"",VLOOKUP(tab_invoices[[#This Row],['#]],tab_budget[['#]:[Rozpočtová položka]],2,FALSE))</f>
        <v/>
      </c>
      <c r="N111" s="457" t="str">
        <f>IF(ISBLANK(tab_invoices[[#This Row],['#]]),"",VLOOKUP(tab_invoices[[#This Row],['#]],tab_budget[['#]:[Typ výdavku]],7,FALSE))</f>
        <v/>
      </c>
      <c r="O111" s="457" t="str">
        <f>IF(ISBLANK(tab_invoices[[#This Row],['#]]),"",VLOOKUP(tab_invoices[[#This Row],['#]],tab_budget[['#]:[Rozpočtová položka]],8,FALSE))</f>
        <v/>
      </c>
      <c r="P111" s="457" t="str">
        <f>IF(ISBLANK(tab_invoices[[#This Row],['#]]),"",VLOOKUP(tab_invoices[[#This Row],['#]],tab_budget[['#]:[Rozpočtová kapitola]],9,FALSE))</f>
        <v/>
      </c>
      <c r="Q111" s="457" t="str">
        <f>IF(ISBLANK(tab_invoices[[#This Row],['#]]),"",VLOOKUP(tab_invoices[[#This Row],['#]],tab_budget[['#]:[Realizuje]],10,FALSE))</f>
        <v/>
      </c>
      <c r="R111" s="457"/>
      <c r="S111" s="457"/>
    </row>
    <row r="112" spans="1:19" s="307" customFormat="1" ht="10.199999999999999" x14ac:dyDescent="0.2">
      <c r="A112" s="451">
        <f t="shared" si="3"/>
        <v>103</v>
      </c>
      <c r="B112" s="452"/>
      <c r="C112" s="453"/>
      <c r="D112" s="454"/>
      <c r="E112" s="454"/>
      <c r="F112" s="452"/>
      <c r="G112" s="455"/>
      <c r="H112" s="455"/>
      <c r="I112" s="452"/>
      <c r="J112" s="452"/>
      <c r="K112" s="291">
        <f>tab_invoices[[#This Row],[Množstvo]]*tab_invoices[[#This Row],[Náklady na jednotku]]</f>
        <v>0</v>
      </c>
      <c r="L112" s="454"/>
      <c r="M112" s="292" t="str">
        <f>IF(ISBLANK(tab_invoices[[#This Row],['#]]),"",VLOOKUP(tab_invoices[[#This Row],['#]],tab_budget[['#]:[Rozpočtová položka]],2,FALSE))</f>
        <v/>
      </c>
      <c r="N112" s="457" t="str">
        <f>IF(ISBLANK(tab_invoices[[#This Row],['#]]),"",VLOOKUP(tab_invoices[[#This Row],['#]],tab_budget[['#]:[Typ výdavku]],7,FALSE))</f>
        <v/>
      </c>
      <c r="O112" s="457" t="str">
        <f>IF(ISBLANK(tab_invoices[[#This Row],['#]]),"",VLOOKUP(tab_invoices[[#This Row],['#]],tab_budget[['#]:[Rozpočtová položka]],8,FALSE))</f>
        <v/>
      </c>
      <c r="P112" s="457" t="str">
        <f>IF(ISBLANK(tab_invoices[[#This Row],['#]]),"",VLOOKUP(tab_invoices[[#This Row],['#]],tab_budget[['#]:[Rozpočtová kapitola]],9,FALSE))</f>
        <v/>
      </c>
      <c r="Q112" s="457" t="str">
        <f>IF(ISBLANK(tab_invoices[[#This Row],['#]]),"",VLOOKUP(tab_invoices[[#This Row],['#]],tab_budget[['#]:[Realizuje]],10,FALSE))</f>
        <v/>
      </c>
      <c r="R112" s="457"/>
      <c r="S112" s="457"/>
    </row>
    <row r="113" spans="1:19" s="307" customFormat="1" ht="10.199999999999999" x14ac:dyDescent="0.2">
      <c r="A113" s="451">
        <f t="shared" si="3"/>
        <v>104</v>
      </c>
      <c r="B113" s="452"/>
      <c r="C113" s="453"/>
      <c r="D113" s="454"/>
      <c r="E113" s="454"/>
      <c r="F113" s="452"/>
      <c r="G113" s="455"/>
      <c r="H113" s="455"/>
      <c r="I113" s="452"/>
      <c r="J113" s="452"/>
      <c r="K113" s="291">
        <f>tab_invoices[[#This Row],[Množstvo]]*tab_invoices[[#This Row],[Náklady na jednotku]]</f>
        <v>0</v>
      </c>
      <c r="L113" s="454"/>
      <c r="M113" s="292" t="str">
        <f>IF(ISBLANK(tab_invoices[[#This Row],['#]]),"",VLOOKUP(tab_invoices[[#This Row],['#]],tab_budget[['#]:[Rozpočtová položka]],2,FALSE))</f>
        <v/>
      </c>
      <c r="N113" s="457" t="str">
        <f>IF(ISBLANK(tab_invoices[[#This Row],['#]]),"",VLOOKUP(tab_invoices[[#This Row],['#]],tab_budget[['#]:[Typ výdavku]],7,FALSE))</f>
        <v/>
      </c>
      <c r="O113" s="457" t="str">
        <f>IF(ISBLANK(tab_invoices[[#This Row],['#]]),"",VLOOKUP(tab_invoices[[#This Row],['#]],tab_budget[['#]:[Rozpočtová položka]],8,FALSE))</f>
        <v/>
      </c>
      <c r="P113" s="457" t="str">
        <f>IF(ISBLANK(tab_invoices[[#This Row],['#]]),"",VLOOKUP(tab_invoices[[#This Row],['#]],tab_budget[['#]:[Rozpočtová kapitola]],9,FALSE))</f>
        <v/>
      </c>
      <c r="Q113" s="457" t="str">
        <f>IF(ISBLANK(tab_invoices[[#This Row],['#]]),"",VLOOKUP(tab_invoices[[#This Row],['#]],tab_budget[['#]:[Realizuje]],10,FALSE))</f>
        <v/>
      </c>
      <c r="R113" s="457"/>
      <c r="S113" s="457"/>
    </row>
    <row r="114" spans="1:19" s="307" customFormat="1" ht="10.199999999999999" x14ac:dyDescent="0.2">
      <c r="A114" s="451">
        <f t="shared" si="3"/>
        <v>105</v>
      </c>
      <c r="B114" s="452"/>
      <c r="C114" s="453"/>
      <c r="D114" s="454"/>
      <c r="E114" s="454"/>
      <c r="F114" s="452"/>
      <c r="G114" s="455"/>
      <c r="H114" s="455"/>
      <c r="I114" s="452"/>
      <c r="J114" s="452"/>
      <c r="K114" s="291">
        <f>tab_invoices[[#This Row],[Množstvo]]*tab_invoices[[#This Row],[Náklady na jednotku]]</f>
        <v>0</v>
      </c>
      <c r="L114" s="454"/>
      <c r="M114" s="292" t="str">
        <f>IF(ISBLANK(tab_invoices[[#This Row],['#]]),"",VLOOKUP(tab_invoices[[#This Row],['#]],tab_budget[['#]:[Rozpočtová položka]],2,FALSE))</f>
        <v/>
      </c>
      <c r="N114" s="457" t="str">
        <f>IF(ISBLANK(tab_invoices[[#This Row],['#]]),"",VLOOKUP(tab_invoices[[#This Row],['#]],tab_budget[['#]:[Typ výdavku]],7,FALSE))</f>
        <v/>
      </c>
      <c r="O114" s="457" t="str">
        <f>IF(ISBLANK(tab_invoices[[#This Row],['#]]),"",VLOOKUP(tab_invoices[[#This Row],['#]],tab_budget[['#]:[Rozpočtová položka]],8,FALSE))</f>
        <v/>
      </c>
      <c r="P114" s="457" t="str">
        <f>IF(ISBLANK(tab_invoices[[#This Row],['#]]),"",VLOOKUP(tab_invoices[[#This Row],['#]],tab_budget[['#]:[Rozpočtová kapitola]],9,FALSE))</f>
        <v/>
      </c>
      <c r="Q114" s="457" t="str">
        <f>IF(ISBLANK(tab_invoices[[#This Row],['#]]),"",VLOOKUP(tab_invoices[[#This Row],['#]],tab_budget[['#]:[Realizuje]],10,FALSE))</f>
        <v/>
      </c>
      <c r="R114" s="457"/>
      <c r="S114" s="457"/>
    </row>
    <row r="115" spans="1:19" s="307" customFormat="1" ht="10.199999999999999" x14ac:dyDescent="0.2">
      <c r="A115" s="451">
        <f t="shared" si="3"/>
        <v>106</v>
      </c>
      <c r="B115" s="452"/>
      <c r="C115" s="453"/>
      <c r="D115" s="454"/>
      <c r="E115" s="454"/>
      <c r="F115" s="452"/>
      <c r="G115" s="455"/>
      <c r="H115" s="455"/>
      <c r="I115" s="452"/>
      <c r="J115" s="452"/>
      <c r="K115" s="291">
        <f>tab_invoices[[#This Row],[Množstvo]]*tab_invoices[[#This Row],[Náklady na jednotku]]</f>
        <v>0</v>
      </c>
      <c r="L115" s="454"/>
      <c r="M115" s="292" t="str">
        <f>IF(ISBLANK(tab_invoices[[#This Row],['#]]),"",VLOOKUP(tab_invoices[[#This Row],['#]],tab_budget[['#]:[Rozpočtová položka]],2,FALSE))</f>
        <v/>
      </c>
      <c r="N115" s="457" t="str">
        <f>IF(ISBLANK(tab_invoices[[#This Row],['#]]),"",VLOOKUP(tab_invoices[[#This Row],['#]],tab_budget[['#]:[Typ výdavku]],7,FALSE))</f>
        <v/>
      </c>
      <c r="O115" s="457" t="str">
        <f>IF(ISBLANK(tab_invoices[[#This Row],['#]]),"",VLOOKUP(tab_invoices[[#This Row],['#]],tab_budget[['#]:[Rozpočtová položka]],8,FALSE))</f>
        <v/>
      </c>
      <c r="P115" s="457" t="str">
        <f>IF(ISBLANK(tab_invoices[[#This Row],['#]]),"",VLOOKUP(tab_invoices[[#This Row],['#]],tab_budget[['#]:[Rozpočtová kapitola]],9,FALSE))</f>
        <v/>
      </c>
      <c r="Q115" s="457" t="str">
        <f>IF(ISBLANK(tab_invoices[[#This Row],['#]]),"",VLOOKUP(tab_invoices[[#This Row],['#]],tab_budget[['#]:[Realizuje]],10,FALSE))</f>
        <v/>
      </c>
      <c r="R115" s="457"/>
      <c r="S115" s="457"/>
    </row>
    <row r="116" spans="1:19" s="307" customFormat="1" ht="10.199999999999999" x14ac:dyDescent="0.2">
      <c r="A116" s="451">
        <f t="shared" si="3"/>
        <v>107</v>
      </c>
      <c r="B116" s="452"/>
      <c r="C116" s="453"/>
      <c r="D116" s="454"/>
      <c r="E116" s="454"/>
      <c r="F116" s="452"/>
      <c r="G116" s="455"/>
      <c r="H116" s="455"/>
      <c r="I116" s="452"/>
      <c r="J116" s="452"/>
      <c r="K116" s="291">
        <f>tab_invoices[[#This Row],[Množstvo]]*tab_invoices[[#This Row],[Náklady na jednotku]]</f>
        <v>0</v>
      </c>
      <c r="L116" s="454"/>
      <c r="M116" s="292" t="str">
        <f>IF(ISBLANK(tab_invoices[[#This Row],['#]]),"",VLOOKUP(tab_invoices[[#This Row],['#]],tab_budget[['#]:[Rozpočtová položka]],2,FALSE))</f>
        <v/>
      </c>
      <c r="N116" s="457" t="str">
        <f>IF(ISBLANK(tab_invoices[[#This Row],['#]]),"",VLOOKUP(tab_invoices[[#This Row],['#]],tab_budget[['#]:[Typ výdavku]],7,FALSE))</f>
        <v/>
      </c>
      <c r="O116" s="457" t="str">
        <f>IF(ISBLANK(tab_invoices[[#This Row],['#]]),"",VLOOKUP(tab_invoices[[#This Row],['#]],tab_budget[['#]:[Rozpočtová položka]],8,FALSE))</f>
        <v/>
      </c>
      <c r="P116" s="457" t="str">
        <f>IF(ISBLANK(tab_invoices[[#This Row],['#]]),"",VLOOKUP(tab_invoices[[#This Row],['#]],tab_budget[['#]:[Rozpočtová kapitola]],9,FALSE))</f>
        <v/>
      </c>
      <c r="Q116" s="457" t="str">
        <f>IF(ISBLANK(tab_invoices[[#This Row],['#]]),"",VLOOKUP(tab_invoices[[#This Row],['#]],tab_budget[['#]:[Realizuje]],10,FALSE))</f>
        <v/>
      </c>
      <c r="R116" s="457"/>
      <c r="S116" s="457"/>
    </row>
    <row r="117" spans="1:19" s="307" customFormat="1" ht="10.199999999999999" x14ac:dyDescent="0.2">
      <c r="A117" s="451">
        <f t="shared" si="3"/>
        <v>108</v>
      </c>
      <c r="B117" s="452"/>
      <c r="C117" s="453"/>
      <c r="D117" s="454"/>
      <c r="E117" s="454"/>
      <c r="F117" s="452"/>
      <c r="G117" s="455"/>
      <c r="H117" s="455"/>
      <c r="I117" s="452"/>
      <c r="J117" s="452"/>
      <c r="K117" s="291">
        <f>tab_invoices[[#This Row],[Množstvo]]*tab_invoices[[#This Row],[Náklady na jednotku]]</f>
        <v>0</v>
      </c>
      <c r="L117" s="454"/>
      <c r="M117" s="292" t="str">
        <f>IF(ISBLANK(tab_invoices[[#This Row],['#]]),"",VLOOKUP(tab_invoices[[#This Row],['#]],tab_budget[['#]:[Rozpočtová položka]],2,FALSE))</f>
        <v/>
      </c>
      <c r="N117" s="457" t="str">
        <f>IF(ISBLANK(tab_invoices[[#This Row],['#]]),"",VLOOKUP(tab_invoices[[#This Row],['#]],tab_budget[['#]:[Typ výdavku]],7,FALSE))</f>
        <v/>
      </c>
      <c r="O117" s="457" t="str">
        <f>IF(ISBLANK(tab_invoices[[#This Row],['#]]),"",VLOOKUP(tab_invoices[[#This Row],['#]],tab_budget[['#]:[Rozpočtová položka]],8,FALSE))</f>
        <v/>
      </c>
      <c r="P117" s="457" t="str">
        <f>IF(ISBLANK(tab_invoices[[#This Row],['#]]),"",VLOOKUP(tab_invoices[[#This Row],['#]],tab_budget[['#]:[Rozpočtová kapitola]],9,FALSE))</f>
        <v/>
      </c>
      <c r="Q117" s="457" t="str">
        <f>IF(ISBLANK(tab_invoices[[#This Row],['#]]),"",VLOOKUP(tab_invoices[[#This Row],['#]],tab_budget[['#]:[Realizuje]],10,FALSE))</f>
        <v/>
      </c>
      <c r="R117" s="457"/>
      <c r="S117" s="457"/>
    </row>
    <row r="118" spans="1:19" s="307" customFormat="1" ht="10.199999999999999" x14ac:dyDescent="0.2">
      <c r="A118" s="451">
        <f t="shared" si="3"/>
        <v>109</v>
      </c>
      <c r="B118" s="452"/>
      <c r="C118" s="453"/>
      <c r="D118" s="454"/>
      <c r="E118" s="454"/>
      <c r="F118" s="452"/>
      <c r="G118" s="455"/>
      <c r="H118" s="455"/>
      <c r="I118" s="452"/>
      <c r="J118" s="452"/>
      <c r="K118" s="291">
        <f>tab_invoices[[#This Row],[Množstvo]]*tab_invoices[[#This Row],[Náklady na jednotku]]</f>
        <v>0</v>
      </c>
      <c r="L118" s="454"/>
      <c r="M118" s="292" t="str">
        <f>IF(ISBLANK(tab_invoices[[#This Row],['#]]),"",VLOOKUP(tab_invoices[[#This Row],['#]],tab_budget[['#]:[Rozpočtová položka]],2,FALSE))</f>
        <v/>
      </c>
      <c r="N118" s="457" t="str">
        <f>IF(ISBLANK(tab_invoices[[#This Row],['#]]),"",VLOOKUP(tab_invoices[[#This Row],['#]],tab_budget[['#]:[Typ výdavku]],7,FALSE))</f>
        <v/>
      </c>
      <c r="O118" s="457" t="str">
        <f>IF(ISBLANK(tab_invoices[[#This Row],['#]]),"",VLOOKUP(tab_invoices[[#This Row],['#]],tab_budget[['#]:[Rozpočtová položka]],8,FALSE))</f>
        <v/>
      </c>
      <c r="P118" s="457" t="str">
        <f>IF(ISBLANK(tab_invoices[[#This Row],['#]]),"",VLOOKUP(tab_invoices[[#This Row],['#]],tab_budget[['#]:[Rozpočtová kapitola]],9,FALSE))</f>
        <v/>
      </c>
      <c r="Q118" s="457" t="str">
        <f>IF(ISBLANK(tab_invoices[[#This Row],['#]]),"",VLOOKUP(tab_invoices[[#This Row],['#]],tab_budget[['#]:[Realizuje]],10,FALSE))</f>
        <v/>
      </c>
      <c r="R118" s="457"/>
      <c r="S118" s="457"/>
    </row>
    <row r="119" spans="1:19" s="307" customFormat="1" ht="10.199999999999999" x14ac:dyDescent="0.2">
      <c r="A119" s="451">
        <f t="shared" si="3"/>
        <v>110</v>
      </c>
      <c r="B119" s="452"/>
      <c r="C119" s="453"/>
      <c r="D119" s="454"/>
      <c r="E119" s="454"/>
      <c r="F119" s="452"/>
      <c r="G119" s="455"/>
      <c r="H119" s="455"/>
      <c r="I119" s="452"/>
      <c r="J119" s="452"/>
      <c r="K119" s="291">
        <f>tab_invoices[[#This Row],[Množstvo]]*tab_invoices[[#This Row],[Náklady na jednotku]]</f>
        <v>0</v>
      </c>
      <c r="L119" s="454"/>
      <c r="M119" s="292" t="str">
        <f>IF(ISBLANK(tab_invoices[[#This Row],['#]]),"",VLOOKUP(tab_invoices[[#This Row],['#]],tab_budget[['#]:[Rozpočtová položka]],2,FALSE))</f>
        <v/>
      </c>
      <c r="N119" s="457" t="str">
        <f>IF(ISBLANK(tab_invoices[[#This Row],['#]]),"",VLOOKUP(tab_invoices[[#This Row],['#]],tab_budget[['#]:[Typ výdavku]],7,FALSE))</f>
        <v/>
      </c>
      <c r="O119" s="457" t="str">
        <f>IF(ISBLANK(tab_invoices[[#This Row],['#]]),"",VLOOKUP(tab_invoices[[#This Row],['#]],tab_budget[['#]:[Rozpočtová položka]],8,FALSE))</f>
        <v/>
      </c>
      <c r="P119" s="457" t="str">
        <f>IF(ISBLANK(tab_invoices[[#This Row],['#]]),"",VLOOKUP(tab_invoices[[#This Row],['#]],tab_budget[['#]:[Rozpočtová kapitola]],9,FALSE))</f>
        <v/>
      </c>
      <c r="Q119" s="457" t="str">
        <f>IF(ISBLANK(tab_invoices[[#This Row],['#]]),"",VLOOKUP(tab_invoices[[#This Row],['#]],tab_budget[['#]:[Realizuje]],10,FALSE))</f>
        <v/>
      </c>
      <c r="R119" s="457"/>
      <c r="S119" s="457"/>
    </row>
    <row r="120" spans="1:19" s="307" customFormat="1" ht="10.199999999999999" x14ac:dyDescent="0.2">
      <c r="A120" s="451">
        <f t="shared" si="3"/>
        <v>111</v>
      </c>
      <c r="B120" s="452"/>
      <c r="C120" s="453"/>
      <c r="D120" s="454"/>
      <c r="E120" s="454"/>
      <c r="F120" s="452"/>
      <c r="G120" s="455"/>
      <c r="H120" s="455"/>
      <c r="I120" s="452"/>
      <c r="J120" s="452"/>
      <c r="K120" s="291">
        <f>tab_invoices[[#This Row],[Množstvo]]*tab_invoices[[#This Row],[Náklady na jednotku]]</f>
        <v>0</v>
      </c>
      <c r="L120" s="454"/>
      <c r="M120" s="292" t="str">
        <f>IF(ISBLANK(tab_invoices[[#This Row],['#]]),"",VLOOKUP(tab_invoices[[#This Row],['#]],tab_budget[['#]:[Rozpočtová položka]],2,FALSE))</f>
        <v/>
      </c>
      <c r="N120" s="457" t="str">
        <f>IF(ISBLANK(tab_invoices[[#This Row],['#]]),"",VLOOKUP(tab_invoices[[#This Row],['#]],tab_budget[['#]:[Typ výdavku]],7,FALSE))</f>
        <v/>
      </c>
      <c r="O120" s="457" t="str">
        <f>IF(ISBLANK(tab_invoices[[#This Row],['#]]),"",VLOOKUP(tab_invoices[[#This Row],['#]],tab_budget[['#]:[Rozpočtová položka]],8,FALSE))</f>
        <v/>
      </c>
      <c r="P120" s="457" t="str">
        <f>IF(ISBLANK(tab_invoices[[#This Row],['#]]),"",VLOOKUP(tab_invoices[[#This Row],['#]],tab_budget[['#]:[Rozpočtová kapitola]],9,FALSE))</f>
        <v/>
      </c>
      <c r="Q120" s="457" t="str">
        <f>IF(ISBLANK(tab_invoices[[#This Row],['#]]),"",VLOOKUP(tab_invoices[[#This Row],['#]],tab_budget[['#]:[Realizuje]],10,FALSE))</f>
        <v/>
      </c>
      <c r="R120" s="457"/>
      <c r="S120" s="457"/>
    </row>
    <row r="121" spans="1:19" s="307" customFormat="1" ht="10.199999999999999" x14ac:dyDescent="0.2">
      <c r="A121" s="451">
        <f t="shared" si="3"/>
        <v>112</v>
      </c>
      <c r="B121" s="452"/>
      <c r="C121" s="453"/>
      <c r="D121" s="454"/>
      <c r="E121" s="454"/>
      <c r="F121" s="452"/>
      <c r="G121" s="455"/>
      <c r="H121" s="455"/>
      <c r="I121" s="452"/>
      <c r="J121" s="452"/>
      <c r="K121" s="291">
        <f>tab_invoices[[#This Row],[Množstvo]]*tab_invoices[[#This Row],[Náklady na jednotku]]</f>
        <v>0</v>
      </c>
      <c r="L121" s="454"/>
      <c r="M121" s="292" t="str">
        <f>IF(ISBLANK(tab_invoices[[#This Row],['#]]),"",VLOOKUP(tab_invoices[[#This Row],['#]],tab_budget[['#]:[Rozpočtová položka]],2,FALSE))</f>
        <v/>
      </c>
      <c r="N121" s="457" t="str">
        <f>IF(ISBLANK(tab_invoices[[#This Row],['#]]),"",VLOOKUP(tab_invoices[[#This Row],['#]],tab_budget[['#]:[Typ výdavku]],7,FALSE))</f>
        <v/>
      </c>
      <c r="O121" s="457" t="str">
        <f>IF(ISBLANK(tab_invoices[[#This Row],['#]]),"",VLOOKUP(tab_invoices[[#This Row],['#]],tab_budget[['#]:[Rozpočtová položka]],8,FALSE))</f>
        <v/>
      </c>
      <c r="P121" s="457" t="str">
        <f>IF(ISBLANK(tab_invoices[[#This Row],['#]]),"",VLOOKUP(tab_invoices[[#This Row],['#]],tab_budget[['#]:[Rozpočtová kapitola]],9,FALSE))</f>
        <v/>
      </c>
      <c r="Q121" s="457" t="str">
        <f>IF(ISBLANK(tab_invoices[[#This Row],['#]]),"",VLOOKUP(tab_invoices[[#This Row],['#]],tab_budget[['#]:[Realizuje]],10,FALSE))</f>
        <v/>
      </c>
      <c r="R121" s="457"/>
      <c r="S121" s="457"/>
    </row>
    <row r="122" spans="1:19" s="307" customFormat="1" ht="10.199999999999999" x14ac:dyDescent="0.2">
      <c r="A122" s="451">
        <f t="shared" si="3"/>
        <v>113</v>
      </c>
      <c r="B122" s="452"/>
      <c r="C122" s="453"/>
      <c r="D122" s="454"/>
      <c r="E122" s="454"/>
      <c r="F122" s="452"/>
      <c r="G122" s="455"/>
      <c r="H122" s="455"/>
      <c r="I122" s="452"/>
      <c r="J122" s="452"/>
      <c r="K122" s="291">
        <f>tab_invoices[[#This Row],[Množstvo]]*tab_invoices[[#This Row],[Náklady na jednotku]]</f>
        <v>0</v>
      </c>
      <c r="L122" s="454"/>
      <c r="M122" s="292" t="str">
        <f>IF(ISBLANK(tab_invoices[[#This Row],['#]]),"",VLOOKUP(tab_invoices[[#This Row],['#]],tab_budget[['#]:[Rozpočtová položka]],2,FALSE))</f>
        <v/>
      </c>
      <c r="N122" s="457" t="str">
        <f>IF(ISBLANK(tab_invoices[[#This Row],['#]]),"",VLOOKUP(tab_invoices[[#This Row],['#]],tab_budget[['#]:[Typ výdavku]],7,FALSE))</f>
        <v/>
      </c>
      <c r="O122" s="457" t="str">
        <f>IF(ISBLANK(tab_invoices[[#This Row],['#]]),"",VLOOKUP(tab_invoices[[#This Row],['#]],tab_budget[['#]:[Rozpočtová položka]],8,FALSE))</f>
        <v/>
      </c>
      <c r="P122" s="457" t="str">
        <f>IF(ISBLANK(tab_invoices[[#This Row],['#]]),"",VLOOKUP(tab_invoices[[#This Row],['#]],tab_budget[['#]:[Rozpočtová kapitola]],9,FALSE))</f>
        <v/>
      </c>
      <c r="Q122" s="457" t="str">
        <f>IF(ISBLANK(tab_invoices[[#This Row],['#]]),"",VLOOKUP(tab_invoices[[#This Row],['#]],tab_budget[['#]:[Realizuje]],10,FALSE))</f>
        <v/>
      </c>
      <c r="R122" s="457"/>
      <c r="S122" s="457"/>
    </row>
    <row r="123" spans="1:19" s="307" customFormat="1" ht="10.199999999999999" x14ac:dyDescent="0.2">
      <c r="A123" s="451">
        <f t="shared" si="3"/>
        <v>114</v>
      </c>
      <c r="B123" s="452"/>
      <c r="C123" s="453"/>
      <c r="D123" s="454"/>
      <c r="E123" s="454"/>
      <c r="F123" s="452"/>
      <c r="G123" s="455"/>
      <c r="H123" s="455"/>
      <c r="I123" s="452"/>
      <c r="J123" s="452"/>
      <c r="K123" s="291">
        <f>tab_invoices[[#This Row],[Množstvo]]*tab_invoices[[#This Row],[Náklady na jednotku]]</f>
        <v>0</v>
      </c>
      <c r="L123" s="454"/>
      <c r="M123" s="292" t="str">
        <f>IF(ISBLANK(tab_invoices[[#This Row],['#]]),"",VLOOKUP(tab_invoices[[#This Row],['#]],tab_budget[['#]:[Rozpočtová položka]],2,FALSE))</f>
        <v/>
      </c>
      <c r="N123" s="457" t="str">
        <f>IF(ISBLANK(tab_invoices[[#This Row],['#]]),"",VLOOKUP(tab_invoices[[#This Row],['#]],tab_budget[['#]:[Typ výdavku]],7,FALSE))</f>
        <v/>
      </c>
      <c r="O123" s="457" t="str">
        <f>IF(ISBLANK(tab_invoices[[#This Row],['#]]),"",VLOOKUP(tab_invoices[[#This Row],['#]],tab_budget[['#]:[Rozpočtová položka]],8,FALSE))</f>
        <v/>
      </c>
      <c r="P123" s="457" t="str">
        <f>IF(ISBLANK(tab_invoices[[#This Row],['#]]),"",VLOOKUP(tab_invoices[[#This Row],['#]],tab_budget[['#]:[Rozpočtová kapitola]],9,FALSE))</f>
        <v/>
      </c>
      <c r="Q123" s="457" t="str">
        <f>IF(ISBLANK(tab_invoices[[#This Row],['#]]),"",VLOOKUP(tab_invoices[[#This Row],['#]],tab_budget[['#]:[Realizuje]],10,FALSE))</f>
        <v/>
      </c>
      <c r="R123" s="457"/>
      <c r="S123" s="457"/>
    </row>
    <row r="124" spans="1:19" s="307" customFormat="1" ht="10.199999999999999" x14ac:dyDescent="0.2">
      <c r="A124" s="451">
        <f t="shared" si="3"/>
        <v>115</v>
      </c>
      <c r="B124" s="452"/>
      <c r="C124" s="453"/>
      <c r="D124" s="454"/>
      <c r="E124" s="454"/>
      <c r="F124" s="452"/>
      <c r="G124" s="455"/>
      <c r="H124" s="455"/>
      <c r="I124" s="452"/>
      <c r="J124" s="452"/>
      <c r="K124" s="291">
        <f>tab_invoices[[#This Row],[Množstvo]]*tab_invoices[[#This Row],[Náklady na jednotku]]</f>
        <v>0</v>
      </c>
      <c r="L124" s="454"/>
      <c r="M124" s="292" t="str">
        <f>IF(ISBLANK(tab_invoices[[#This Row],['#]]),"",VLOOKUP(tab_invoices[[#This Row],['#]],tab_budget[['#]:[Rozpočtová položka]],2,FALSE))</f>
        <v/>
      </c>
      <c r="N124" s="457" t="str">
        <f>IF(ISBLANK(tab_invoices[[#This Row],['#]]),"",VLOOKUP(tab_invoices[[#This Row],['#]],tab_budget[['#]:[Typ výdavku]],7,FALSE))</f>
        <v/>
      </c>
      <c r="O124" s="457" t="str">
        <f>IF(ISBLANK(tab_invoices[[#This Row],['#]]),"",VLOOKUP(tab_invoices[[#This Row],['#]],tab_budget[['#]:[Rozpočtová položka]],8,FALSE))</f>
        <v/>
      </c>
      <c r="P124" s="457" t="str">
        <f>IF(ISBLANK(tab_invoices[[#This Row],['#]]),"",VLOOKUP(tab_invoices[[#This Row],['#]],tab_budget[['#]:[Rozpočtová kapitola]],9,FALSE))</f>
        <v/>
      </c>
      <c r="Q124" s="457" t="str">
        <f>IF(ISBLANK(tab_invoices[[#This Row],['#]]),"",VLOOKUP(tab_invoices[[#This Row],['#]],tab_budget[['#]:[Realizuje]],10,FALSE))</f>
        <v/>
      </c>
      <c r="R124" s="457"/>
      <c r="S124" s="457"/>
    </row>
    <row r="125" spans="1:19" s="307" customFormat="1" ht="10.199999999999999" x14ac:dyDescent="0.2">
      <c r="A125" s="451">
        <f t="shared" si="3"/>
        <v>116</v>
      </c>
      <c r="B125" s="452"/>
      <c r="C125" s="453"/>
      <c r="D125" s="454"/>
      <c r="E125" s="454"/>
      <c r="F125" s="452"/>
      <c r="G125" s="455"/>
      <c r="H125" s="455"/>
      <c r="I125" s="452"/>
      <c r="J125" s="452"/>
      <c r="K125" s="291">
        <f>tab_invoices[[#This Row],[Množstvo]]*tab_invoices[[#This Row],[Náklady na jednotku]]</f>
        <v>0</v>
      </c>
      <c r="L125" s="454"/>
      <c r="M125" s="292" t="str">
        <f>IF(ISBLANK(tab_invoices[[#This Row],['#]]),"",VLOOKUP(tab_invoices[[#This Row],['#]],tab_budget[['#]:[Rozpočtová položka]],2,FALSE))</f>
        <v/>
      </c>
      <c r="N125" s="457" t="str">
        <f>IF(ISBLANK(tab_invoices[[#This Row],['#]]),"",VLOOKUP(tab_invoices[[#This Row],['#]],tab_budget[['#]:[Typ výdavku]],7,FALSE))</f>
        <v/>
      </c>
      <c r="O125" s="457" t="str">
        <f>IF(ISBLANK(tab_invoices[[#This Row],['#]]),"",VLOOKUP(tab_invoices[[#This Row],['#]],tab_budget[['#]:[Rozpočtová položka]],8,FALSE))</f>
        <v/>
      </c>
      <c r="P125" s="457" t="str">
        <f>IF(ISBLANK(tab_invoices[[#This Row],['#]]),"",VLOOKUP(tab_invoices[[#This Row],['#]],tab_budget[['#]:[Rozpočtová kapitola]],9,FALSE))</f>
        <v/>
      </c>
      <c r="Q125" s="457" t="str">
        <f>IF(ISBLANK(tab_invoices[[#This Row],['#]]),"",VLOOKUP(tab_invoices[[#This Row],['#]],tab_budget[['#]:[Realizuje]],10,FALSE))</f>
        <v/>
      </c>
      <c r="R125" s="457"/>
      <c r="S125" s="457"/>
    </row>
    <row r="126" spans="1:19" s="307" customFormat="1" ht="10.199999999999999" x14ac:dyDescent="0.2">
      <c r="A126" s="451">
        <f t="shared" si="3"/>
        <v>117</v>
      </c>
      <c r="B126" s="452"/>
      <c r="C126" s="453"/>
      <c r="D126" s="454"/>
      <c r="E126" s="454"/>
      <c r="F126" s="452"/>
      <c r="G126" s="455"/>
      <c r="H126" s="455"/>
      <c r="I126" s="452"/>
      <c r="J126" s="452"/>
      <c r="K126" s="291">
        <f>tab_invoices[[#This Row],[Množstvo]]*tab_invoices[[#This Row],[Náklady na jednotku]]</f>
        <v>0</v>
      </c>
      <c r="L126" s="454"/>
      <c r="M126" s="292" t="str">
        <f>IF(ISBLANK(tab_invoices[[#This Row],['#]]),"",VLOOKUP(tab_invoices[[#This Row],['#]],tab_budget[['#]:[Rozpočtová položka]],2,FALSE))</f>
        <v/>
      </c>
      <c r="N126" s="457" t="str">
        <f>IF(ISBLANK(tab_invoices[[#This Row],['#]]),"",VLOOKUP(tab_invoices[[#This Row],['#]],tab_budget[['#]:[Typ výdavku]],7,FALSE))</f>
        <v/>
      </c>
      <c r="O126" s="457" t="str">
        <f>IF(ISBLANK(tab_invoices[[#This Row],['#]]),"",VLOOKUP(tab_invoices[[#This Row],['#]],tab_budget[['#]:[Rozpočtová položka]],8,FALSE))</f>
        <v/>
      </c>
      <c r="P126" s="457" t="str">
        <f>IF(ISBLANK(tab_invoices[[#This Row],['#]]),"",VLOOKUP(tab_invoices[[#This Row],['#]],tab_budget[['#]:[Rozpočtová kapitola]],9,FALSE))</f>
        <v/>
      </c>
      <c r="Q126" s="457" t="str">
        <f>IF(ISBLANK(tab_invoices[[#This Row],['#]]),"",VLOOKUP(tab_invoices[[#This Row],['#]],tab_budget[['#]:[Realizuje]],10,FALSE))</f>
        <v/>
      </c>
      <c r="R126" s="457"/>
      <c r="S126" s="457"/>
    </row>
    <row r="127" spans="1:19" s="307" customFormat="1" ht="10.199999999999999" x14ac:dyDescent="0.2">
      <c r="A127" s="451">
        <f t="shared" si="3"/>
        <v>118</v>
      </c>
      <c r="B127" s="452"/>
      <c r="C127" s="453"/>
      <c r="D127" s="454"/>
      <c r="E127" s="454"/>
      <c r="F127" s="452"/>
      <c r="G127" s="455"/>
      <c r="H127" s="455"/>
      <c r="I127" s="452"/>
      <c r="J127" s="452"/>
      <c r="K127" s="291">
        <f>tab_invoices[[#This Row],[Množstvo]]*tab_invoices[[#This Row],[Náklady na jednotku]]</f>
        <v>0</v>
      </c>
      <c r="L127" s="454"/>
      <c r="M127" s="292" t="str">
        <f>IF(ISBLANK(tab_invoices[[#This Row],['#]]),"",VLOOKUP(tab_invoices[[#This Row],['#]],tab_budget[['#]:[Rozpočtová položka]],2,FALSE))</f>
        <v/>
      </c>
      <c r="N127" s="457" t="str">
        <f>IF(ISBLANK(tab_invoices[[#This Row],['#]]),"",VLOOKUP(tab_invoices[[#This Row],['#]],tab_budget[['#]:[Typ výdavku]],7,FALSE))</f>
        <v/>
      </c>
      <c r="O127" s="457" t="str">
        <f>IF(ISBLANK(tab_invoices[[#This Row],['#]]),"",VLOOKUP(tab_invoices[[#This Row],['#]],tab_budget[['#]:[Rozpočtová položka]],8,FALSE))</f>
        <v/>
      </c>
      <c r="P127" s="457" t="str">
        <f>IF(ISBLANK(tab_invoices[[#This Row],['#]]),"",VLOOKUP(tab_invoices[[#This Row],['#]],tab_budget[['#]:[Rozpočtová kapitola]],9,FALSE))</f>
        <v/>
      </c>
      <c r="Q127" s="457" t="str">
        <f>IF(ISBLANK(tab_invoices[[#This Row],['#]]),"",VLOOKUP(tab_invoices[[#This Row],['#]],tab_budget[['#]:[Realizuje]],10,FALSE))</f>
        <v/>
      </c>
      <c r="R127" s="457"/>
      <c r="S127" s="457"/>
    </row>
    <row r="128" spans="1:19" s="307" customFormat="1" ht="10.199999999999999" x14ac:dyDescent="0.2">
      <c r="A128" s="451">
        <f t="shared" si="3"/>
        <v>119</v>
      </c>
      <c r="B128" s="452"/>
      <c r="C128" s="453"/>
      <c r="D128" s="454"/>
      <c r="E128" s="454"/>
      <c r="F128" s="452"/>
      <c r="G128" s="455"/>
      <c r="H128" s="455"/>
      <c r="I128" s="452"/>
      <c r="J128" s="452"/>
      <c r="K128" s="291">
        <f>tab_invoices[[#This Row],[Množstvo]]*tab_invoices[[#This Row],[Náklady na jednotku]]</f>
        <v>0</v>
      </c>
      <c r="L128" s="454"/>
      <c r="M128" s="292" t="str">
        <f>IF(ISBLANK(tab_invoices[[#This Row],['#]]),"",VLOOKUP(tab_invoices[[#This Row],['#]],tab_budget[['#]:[Rozpočtová položka]],2,FALSE))</f>
        <v/>
      </c>
      <c r="N128" s="457" t="str">
        <f>IF(ISBLANK(tab_invoices[[#This Row],['#]]),"",VLOOKUP(tab_invoices[[#This Row],['#]],tab_budget[['#]:[Typ výdavku]],7,FALSE))</f>
        <v/>
      </c>
      <c r="O128" s="457" t="str">
        <f>IF(ISBLANK(tab_invoices[[#This Row],['#]]),"",VLOOKUP(tab_invoices[[#This Row],['#]],tab_budget[['#]:[Rozpočtová položka]],8,FALSE))</f>
        <v/>
      </c>
      <c r="P128" s="457" t="str">
        <f>IF(ISBLANK(tab_invoices[[#This Row],['#]]),"",VLOOKUP(tab_invoices[[#This Row],['#]],tab_budget[['#]:[Rozpočtová kapitola]],9,FALSE))</f>
        <v/>
      </c>
      <c r="Q128" s="457" t="str">
        <f>IF(ISBLANK(tab_invoices[[#This Row],['#]]),"",VLOOKUP(tab_invoices[[#This Row],['#]],tab_budget[['#]:[Realizuje]],10,FALSE))</f>
        <v/>
      </c>
      <c r="R128" s="457"/>
      <c r="S128" s="457"/>
    </row>
    <row r="129" spans="1:19" s="307" customFormat="1" ht="10.199999999999999" x14ac:dyDescent="0.2">
      <c r="A129" s="451">
        <f t="shared" si="3"/>
        <v>120</v>
      </c>
      <c r="B129" s="452"/>
      <c r="C129" s="453"/>
      <c r="D129" s="454"/>
      <c r="E129" s="454"/>
      <c r="F129" s="452"/>
      <c r="G129" s="455"/>
      <c r="H129" s="455"/>
      <c r="I129" s="452"/>
      <c r="J129" s="452"/>
      <c r="K129" s="291">
        <f>tab_invoices[[#This Row],[Množstvo]]*tab_invoices[[#This Row],[Náklady na jednotku]]</f>
        <v>0</v>
      </c>
      <c r="L129" s="454"/>
      <c r="M129" s="292" t="str">
        <f>IF(ISBLANK(tab_invoices[[#This Row],['#]]),"",VLOOKUP(tab_invoices[[#This Row],['#]],tab_budget[['#]:[Rozpočtová položka]],2,FALSE))</f>
        <v/>
      </c>
      <c r="N129" s="457" t="str">
        <f>IF(ISBLANK(tab_invoices[[#This Row],['#]]),"",VLOOKUP(tab_invoices[[#This Row],['#]],tab_budget[['#]:[Typ výdavku]],7,FALSE))</f>
        <v/>
      </c>
      <c r="O129" s="457" t="str">
        <f>IF(ISBLANK(tab_invoices[[#This Row],['#]]),"",VLOOKUP(tab_invoices[[#This Row],['#]],tab_budget[['#]:[Rozpočtová položka]],8,FALSE))</f>
        <v/>
      </c>
      <c r="P129" s="457" t="str">
        <f>IF(ISBLANK(tab_invoices[[#This Row],['#]]),"",VLOOKUP(tab_invoices[[#This Row],['#]],tab_budget[['#]:[Rozpočtová kapitola]],9,FALSE))</f>
        <v/>
      </c>
      <c r="Q129" s="457" t="str">
        <f>IF(ISBLANK(tab_invoices[[#This Row],['#]]),"",VLOOKUP(tab_invoices[[#This Row],['#]],tab_budget[['#]:[Realizuje]],10,FALSE))</f>
        <v/>
      </c>
      <c r="R129" s="457"/>
      <c r="S129" s="457"/>
    </row>
    <row r="130" spans="1:19" s="307" customFormat="1" ht="10.199999999999999" x14ac:dyDescent="0.2">
      <c r="A130" s="451">
        <f t="shared" si="3"/>
        <v>121</v>
      </c>
      <c r="B130" s="452"/>
      <c r="C130" s="453"/>
      <c r="D130" s="454"/>
      <c r="E130" s="454"/>
      <c r="F130" s="452"/>
      <c r="G130" s="455"/>
      <c r="H130" s="455"/>
      <c r="I130" s="452"/>
      <c r="J130" s="452"/>
      <c r="K130" s="291">
        <f>tab_invoices[[#This Row],[Množstvo]]*tab_invoices[[#This Row],[Náklady na jednotku]]</f>
        <v>0</v>
      </c>
      <c r="L130" s="454"/>
      <c r="M130" s="292" t="str">
        <f>IF(ISBLANK(tab_invoices[[#This Row],['#]]),"",VLOOKUP(tab_invoices[[#This Row],['#]],tab_budget[['#]:[Rozpočtová položka]],2,FALSE))</f>
        <v/>
      </c>
      <c r="N130" s="457" t="str">
        <f>IF(ISBLANK(tab_invoices[[#This Row],['#]]),"",VLOOKUP(tab_invoices[[#This Row],['#]],tab_budget[['#]:[Typ výdavku]],7,FALSE))</f>
        <v/>
      </c>
      <c r="O130" s="457" t="str">
        <f>IF(ISBLANK(tab_invoices[[#This Row],['#]]),"",VLOOKUP(tab_invoices[[#This Row],['#]],tab_budget[['#]:[Rozpočtová položka]],8,FALSE))</f>
        <v/>
      </c>
      <c r="P130" s="457" t="str">
        <f>IF(ISBLANK(tab_invoices[[#This Row],['#]]),"",VLOOKUP(tab_invoices[[#This Row],['#]],tab_budget[['#]:[Rozpočtová kapitola]],9,FALSE))</f>
        <v/>
      </c>
      <c r="Q130" s="457" t="str">
        <f>IF(ISBLANK(tab_invoices[[#This Row],['#]]),"",VLOOKUP(tab_invoices[[#This Row],['#]],tab_budget[['#]:[Realizuje]],10,FALSE))</f>
        <v/>
      </c>
      <c r="R130" s="457"/>
      <c r="S130" s="457"/>
    </row>
    <row r="131" spans="1:19" s="307" customFormat="1" ht="10.199999999999999" x14ac:dyDescent="0.2">
      <c r="A131" s="451">
        <f t="shared" si="3"/>
        <v>122</v>
      </c>
      <c r="B131" s="452"/>
      <c r="C131" s="453"/>
      <c r="D131" s="454"/>
      <c r="E131" s="454"/>
      <c r="F131" s="452"/>
      <c r="G131" s="455"/>
      <c r="H131" s="455"/>
      <c r="I131" s="452"/>
      <c r="J131" s="452"/>
      <c r="K131" s="291">
        <f>tab_invoices[[#This Row],[Množstvo]]*tab_invoices[[#This Row],[Náklady na jednotku]]</f>
        <v>0</v>
      </c>
      <c r="L131" s="454"/>
      <c r="M131" s="292" t="str">
        <f>IF(ISBLANK(tab_invoices[[#This Row],['#]]),"",VLOOKUP(tab_invoices[[#This Row],['#]],tab_budget[['#]:[Rozpočtová položka]],2,FALSE))</f>
        <v/>
      </c>
      <c r="N131" s="457" t="str">
        <f>IF(ISBLANK(tab_invoices[[#This Row],['#]]),"",VLOOKUP(tab_invoices[[#This Row],['#]],tab_budget[['#]:[Typ výdavku]],7,FALSE))</f>
        <v/>
      </c>
      <c r="O131" s="457" t="str">
        <f>IF(ISBLANK(tab_invoices[[#This Row],['#]]),"",VLOOKUP(tab_invoices[[#This Row],['#]],tab_budget[['#]:[Rozpočtová položka]],8,FALSE))</f>
        <v/>
      </c>
      <c r="P131" s="457" t="str">
        <f>IF(ISBLANK(tab_invoices[[#This Row],['#]]),"",VLOOKUP(tab_invoices[[#This Row],['#]],tab_budget[['#]:[Rozpočtová kapitola]],9,FALSE))</f>
        <v/>
      </c>
      <c r="Q131" s="457" t="str">
        <f>IF(ISBLANK(tab_invoices[[#This Row],['#]]),"",VLOOKUP(tab_invoices[[#This Row],['#]],tab_budget[['#]:[Realizuje]],10,FALSE))</f>
        <v/>
      </c>
      <c r="R131" s="457"/>
      <c r="S131" s="457"/>
    </row>
    <row r="132" spans="1:19" s="307" customFormat="1" ht="10.199999999999999" x14ac:dyDescent="0.2">
      <c r="A132" s="451">
        <f t="shared" si="3"/>
        <v>123</v>
      </c>
      <c r="B132" s="452"/>
      <c r="C132" s="453"/>
      <c r="D132" s="454"/>
      <c r="E132" s="454"/>
      <c r="F132" s="452"/>
      <c r="G132" s="455"/>
      <c r="H132" s="455"/>
      <c r="I132" s="452"/>
      <c r="J132" s="452"/>
      <c r="K132" s="291">
        <f>tab_invoices[[#This Row],[Množstvo]]*tab_invoices[[#This Row],[Náklady na jednotku]]</f>
        <v>0</v>
      </c>
      <c r="L132" s="454"/>
      <c r="M132" s="292" t="str">
        <f>IF(ISBLANK(tab_invoices[[#This Row],['#]]),"",VLOOKUP(tab_invoices[[#This Row],['#]],tab_budget[['#]:[Rozpočtová položka]],2,FALSE))</f>
        <v/>
      </c>
      <c r="N132" s="457" t="str">
        <f>IF(ISBLANK(tab_invoices[[#This Row],['#]]),"",VLOOKUP(tab_invoices[[#This Row],['#]],tab_budget[['#]:[Typ výdavku]],7,FALSE))</f>
        <v/>
      </c>
      <c r="O132" s="457" t="str">
        <f>IF(ISBLANK(tab_invoices[[#This Row],['#]]),"",VLOOKUP(tab_invoices[[#This Row],['#]],tab_budget[['#]:[Rozpočtová položka]],8,FALSE))</f>
        <v/>
      </c>
      <c r="P132" s="457" t="str">
        <f>IF(ISBLANK(tab_invoices[[#This Row],['#]]),"",VLOOKUP(tab_invoices[[#This Row],['#]],tab_budget[['#]:[Rozpočtová kapitola]],9,FALSE))</f>
        <v/>
      </c>
      <c r="Q132" s="457" t="str">
        <f>IF(ISBLANK(tab_invoices[[#This Row],['#]]),"",VLOOKUP(tab_invoices[[#This Row],['#]],tab_budget[['#]:[Realizuje]],10,FALSE))</f>
        <v/>
      </c>
      <c r="R132" s="457"/>
      <c r="S132" s="457"/>
    </row>
    <row r="133" spans="1:19" s="307" customFormat="1" ht="10.199999999999999" x14ac:dyDescent="0.2">
      <c r="A133" s="451">
        <f t="shared" si="3"/>
        <v>124</v>
      </c>
      <c r="B133" s="452"/>
      <c r="C133" s="453"/>
      <c r="D133" s="454"/>
      <c r="E133" s="454"/>
      <c r="F133" s="452"/>
      <c r="G133" s="455"/>
      <c r="H133" s="455"/>
      <c r="I133" s="452"/>
      <c r="J133" s="452"/>
      <c r="K133" s="291">
        <f>tab_invoices[[#This Row],[Množstvo]]*tab_invoices[[#This Row],[Náklady na jednotku]]</f>
        <v>0</v>
      </c>
      <c r="L133" s="454"/>
      <c r="M133" s="292" t="str">
        <f>IF(ISBLANK(tab_invoices[[#This Row],['#]]),"",VLOOKUP(tab_invoices[[#This Row],['#]],tab_budget[['#]:[Rozpočtová položka]],2,FALSE))</f>
        <v/>
      </c>
      <c r="N133" s="457" t="str">
        <f>IF(ISBLANK(tab_invoices[[#This Row],['#]]),"",VLOOKUP(tab_invoices[[#This Row],['#]],tab_budget[['#]:[Typ výdavku]],7,FALSE))</f>
        <v/>
      </c>
      <c r="O133" s="457" t="str">
        <f>IF(ISBLANK(tab_invoices[[#This Row],['#]]),"",VLOOKUP(tab_invoices[[#This Row],['#]],tab_budget[['#]:[Rozpočtová položka]],8,FALSE))</f>
        <v/>
      </c>
      <c r="P133" s="457" t="str">
        <f>IF(ISBLANK(tab_invoices[[#This Row],['#]]),"",VLOOKUP(tab_invoices[[#This Row],['#]],tab_budget[['#]:[Rozpočtová kapitola]],9,FALSE))</f>
        <v/>
      </c>
      <c r="Q133" s="457" t="str">
        <f>IF(ISBLANK(tab_invoices[[#This Row],['#]]),"",VLOOKUP(tab_invoices[[#This Row],['#]],tab_budget[['#]:[Realizuje]],10,FALSE))</f>
        <v/>
      </c>
      <c r="R133" s="457"/>
      <c r="S133" s="457"/>
    </row>
    <row r="134" spans="1:19" s="307" customFormat="1" ht="10.199999999999999" x14ac:dyDescent="0.2">
      <c r="A134" s="451">
        <f t="shared" si="3"/>
        <v>125</v>
      </c>
      <c r="B134" s="452"/>
      <c r="C134" s="453"/>
      <c r="D134" s="454"/>
      <c r="E134" s="454"/>
      <c r="F134" s="452"/>
      <c r="G134" s="455"/>
      <c r="H134" s="455"/>
      <c r="I134" s="452"/>
      <c r="J134" s="452"/>
      <c r="K134" s="291">
        <f>tab_invoices[[#This Row],[Množstvo]]*tab_invoices[[#This Row],[Náklady na jednotku]]</f>
        <v>0</v>
      </c>
      <c r="L134" s="454"/>
      <c r="M134" s="292" t="str">
        <f>IF(ISBLANK(tab_invoices[[#This Row],['#]]),"",VLOOKUP(tab_invoices[[#This Row],['#]],tab_budget[['#]:[Rozpočtová položka]],2,FALSE))</f>
        <v/>
      </c>
      <c r="N134" s="457" t="str">
        <f>IF(ISBLANK(tab_invoices[[#This Row],['#]]),"",VLOOKUP(tab_invoices[[#This Row],['#]],tab_budget[['#]:[Typ výdavku]],7,FALSE))</f>
        <v/>
      </c>
      <c r="O134" s="457" t="str">
        <f>IF(ISBLANK(tab_invoices[[#This Row],['#]]),"",VLOOKUP(tab_invoices[[#This Row],['#]],tab_budget[['#]:[Rozpočtová položka]],8,FALSE))</f>
        <v/>
      </c>
      <c r="P134" s="457" t="str">
        <f>IF(ISBLANK(tab_invoices[[#This Row],['#]]),"",VLOOKUP(tab_invoices[[#This Row],['#]],tab_budget[['#]:[Rozpočtová kapitola]],9,FALSE))</f>
        <v/>
      </c>
      <c r="Q134" s="457" t="str">
        <f>IF(ISBLANK(tab_invoices[[#This Row],['#]]),"",VLOOKUP(tab_invoices[[#This Row],['#]],tab_budget[['#]:[Realizuje]],10,FALSE))</f>
        <v/>
      </c>
      <c r="R134" s="457"/>
      <c r="S134" s="457"/>
    </row>
    <row r="135" spans="1:19" s="307" customFormat="1" ht="10.199999999999999" x14ac:dyDescent="0.2">
      <c r="A135" s="451">
        <f t="shared" si="3"/>
        <v>126</v>
      </c>
      <c r="B135" s="452"/>
      <c r="C135" s="453"/>
      <c r="D135" s="454"/>
      <c r="E135" s="454"/>
      <c r="F135" s="452"/>
      <c r="G135" s="455"/>
      <c r="H135" s="455"/>
      <c r="I135" s="452"/>
      <c r="J135" s="452"/>
      <c r="K135" s="291">
        <f>tab_invoices[[#This Row],[Množstvo]]*tab_invoices[[#This Row],[Náklady na jednotku]]</f>
        <v>0</v>
      </c>
      <c r="L135" s="454"/>
      <c r="M135" s="292" t="str">
        <f>IF(ISBLANK(tab_invoices[[#This Row],['#]]),"",VLOOKUP(tab_invoices[[#This Row],['#]],tab_budget[['#]:[Rozpočtová položka]],2,FALSE))</f>
        <v/>
      </c>
      <c r="N135" s="457" t="str">
        <f>IF(ISBLANK(tab_invoices[[#This Row],['#]]),"",VLOOKUP(tab_invoices[[#This Row],['#]],tab_budget[['#]:[Typ výdavku]],7,FALSE))</f>
        <v/>
      </c>
      <c r="O135" s="457" t="str">
        <f>IF(ISBLANK(tab_invoices[[#This Row],['#]]),"",VLOOKUP(tab_invoices[[#This Row],['#]],tab_budget[['#]:[Rozpočtová položka]],8,FALSE))</f>
        <v/>
      </c>
      <c r="P135" s="457" t="str">
        <f>IF(ISBLANK(tab_invoices[[#This Row],['#]]),"",VLOOKUP(tab_invoices[[#This Row],['#]],tab_budget[['#]:[Rozpočtová kapitola]],9,FALSE))</f>
        <v/>
      </c>
      <c r="Q135" s="457" t="str">
        <f>IF(ISBLANK(tab_invoices[[#This Row],['#]]),"",VLOOKUP(tab_invoices[[#This Row],['#]],tab_budget[['#]:[Realizuje]],10,FALSE))</f>
        <v/>
      </c>
      <c r="R135" s="457"/>
      <c r="S135" s="457"/>
    </row>
    <row r="136" spans="1:19" s="307" customFormat="1" ht="10.199999999999999" x14ac:dyDescent="0.2">
      <c r="A136" s="451">
        <f t="shared" si="3"/>
        <v>127</v>
      </c>
      <c r="B136" s="452"/>
      <c r="C136" s="453"/>
      <c r="D136" s="454"/>
      <c r="E136" s="454"/>
      <c r="F136" s="452"/>
      <c r="G136" s="455"/>
      <c r="H136" s="455"/>
      <c r="I136" s="452"/>
      <c r="J136" s="452"/>
      <c r="K136" s="291">
        <f>tab_invoices[[#This Row],[Množstvo]]*tab_invoices[[#This Row],[Náklady na jednotku]]</f>
        <v>0</v>
      </c>
      <c r="L136" s="454"/>
      <c r="M136" s="292" t="str">
        <f>IF(ISBLANK(tab_invoices[[#This Row],['#]]),"",VLOOKUP(tab_invoices[[#This Row],['#]],tab_budget[['#]:[Rozpočtová položka]],2,FALSE))</f>
        <v/>
      </c>
      <c r="N136" s="457" t="str">
        <f>IF(ISBLANK(tab_invoices[[#This Row],['#]]),"",VLOOKUP(tab_invoices[[#This Row],['#]],tab_budget[['#]:[Typ výdavku]],7,FALSE))</f>
        <v/>
      </c>
      <c r="O136" s="457" t="str">
        <f>IF(ISBLANK(tab_invoices[[#This Row],['#]]),"",VLOOKUP(tab_invoices[[#This Row],['#]],tab_budget[['#]:[Rozpočtová položka]],8,FALSE))</f>
        <v/>
      </c>
      <c r="P136" s="457" t="str">
        <f>IF(ISBLANK(tab_invoices[[#This Row],['#]]),"",VLOOKUP(tab_invoices[[#This Row],['#]],tab_budget[['#]:[Rozpočtová kapitola]],9,FALSE))</f>
        <v/>
      </c>
      <c r="Q136" s="457" t="str">
        <f>IF(ISBLANK(tab_invoices[[#This Row],['#]]),"",VLOOKUP(tab_invoices[[#This Row],['#]],tab_budget[['#]:[Realizuje]],10,FALSE))</f>
        <v/>
      </c>
      <c r="R136" s="457"/>
      <c r="S136" s="457"/>
    </row>
    <row r="137" spans="1:19" s="307" customFormat="1" ht="10.199999999999999" x14ac:dyDescent="0.2">
      <c r="A137" s="451">
        <f t="shared" si="3"/>
        <v>128</v>
      </c>
      <c r="B137" s="452"/>
      <c r="C137" s="453"/>
      <c r="D137" s="454"/>
      <c r="E137" s="454"/>
      <c r="F137" s="452"/>
      <c r="G137" s="455"/>
      <c r="H137" s="455"/>
      <c r="I137" s="452"/>
      <c r="J137" s="452"/>
      <c r="K137" s="291">
        <f>tab_invoices[[#This Row],[Množstvo]]*tab_invoices[[#This Row],[Náklady na jednotku]]</f>
        <v>0</v>
      </c>
      <c r="L137" s="454"/>
      <c r="M137" s="292" t="str">
        <f>IF(ISBLANK(tab_invoices[[#This Row],['#]]),"",VLOOKUP(tab_invoices[[#This Row],['#]],tab_budget[['#]:[Rozpočtová položka]],2,FALSE))</f>
        <v/>
      </c>
      <c r="N137" s="457" t="str">
        <f>IF(ISBLANK(tab_invoices[[#This Row],['#]]),"",VLOOKUP(tab_invoices[[#This Row],['#]],tab_budget[['#]:[Typ výdavku]],7,FALSE))</f>
        <v/>
      </c>
      <c r="O137" s="457" t="str">
        <f>IF(ISBLANK(tab_invoices[[#This Row],['#]]),"",VLOOKUP(tab_invoices[[#This Row],['#]],tab_budget[['#]:[Rozpočtová položka]],8,FALSE))</f>
        <v/>
      </c>
      <c r="P137" s="457" t="str">
        <f>IF(ISBLANK(tab_invoices[[#This Row],['#]]),"",VLOOKUP(tab_invoices[[#This Row],['#]],tab_budget[['#]:[Rozpočtová kapitola]],9,FALSE))</f>
        <v/>
      </c>
      <c r="Q137" s="457" t="str">
        <f>IF(ISBLANK(tab_invoices[[#This Row],['#]]),"",VLOOKUP(tab_invoices[[#This Row],['#]],tab_budget[['#]:[Realizuje]],10,FALSE))</f>
        <v/>
      </c>
      <c r="R137" s="457"/>
      <c r="S137" s="457"/>
    </row>
    <row r="138" spans="1:19" s="307" customFormat="1" ht="10.199999999999999" x14ac:dyDescent="0.2">
      <c r="A138" s="451">
        <f t="shared" si="3"/>
        <v>129</v>
      </c>
      <c r="B138" s="452"/>
      <c r="C138" s="453"/>
      <c r="D138" s="454"/>
      <c r="E138" s="454"/>
      <c r="F138" s="452"/>
      <c r="G138" s="455"/>
      <c r="H138" s="455"/>
      <c r="I138" s="452"/>
      <c r="J138" s="452"/>
      <c r="K138" s="291">
        <f>tab_invoices[[#This Row],[Množstvo]]*tab_invoices[[#This Row],[Náklady na jednotku]]</f>
        <v>0</v>
      </c>
      <c r="L138" s="454"/>
      <c r="M138" s="292" t="str">
        <f>IF(ISBLANK(tab_invoices[[#This Row],['#]]),"",VLOOKUP(tab_invoices[[#This Row],['#]],tab_budget[['#]:[Rozpočtová položka]],2,FALSE))</f>
        <v/>
      </c>
      <c r="N138" s="457" t="str">
        <f>IF(ISBLANK(tab_invoices[[#This Row],['#]]),"",VLOOKUP(tab_invoices[[#This Row],['#]],tab_budget[['#]:[Typ výdavku]],7,FALSE))</f>
        <v/>
      </c>
      <c r="O138" s="457" t="str">
        <f>IF(ISBLANK(tab_invoices[[#This Row],['#]]),"",VLOOKUP(tab_invoices[[#This Row],['#]],tab_budget[['#]:[Rozpočtová položka]],8,FALSE))</f>
        <v/>
      </c>
      <c r="P138" s="457" t="str">
        <f>IF(ISBLANK(tab_invoices[[#This Row],['#]]),"",VLOOKUP(tab_invoices[[#This Row],['#]],tab_budget[['#]:[Rozpočtová kapitola]],9,FALSE))</f>
        <v/>
      </c>
      <c r="Q138" s="457" t="str">
        <f>IF(ISBLANK(tab_invoices[[#This Row],['#]]),"",VLOOKUP(tab_invoices[[#This Row],['#]],tab_budget[['#]:[Realizuje]],10,FALSE))</f>
        <v/>
      </c>
      <c r="R138" s="457"/>
      <c r="S138" s="457"/>
    </row>
    <row r="139" spans="1:19" s="307" customFormat="1" ht="10.199999999999999" x14ac:dyDescent="0.2">
      <c r="A139" s="451">
        <f t="shared" ref="A139:A160" si="4">ROW(B139)-9</f>
        <v>130</v>
      </c>
      <c r="B139" s="452"/>
      <c r="C139" s="453"/>
      <c r="D139" s="454"/>
      <c r="E139" s="454"/>
      <c r="F139" s="452"/>
      <c r="G139" s="455"/>
      <c r="H139" s="455"/>
      <c r="I139" s="452"/>
      <c r="J139" s="452"/>
      <c r="K139" s="291">
        <f>tab_invoices[[#This Row],[Množstvo]]*tab_invoices[[#This Row],[Náklady na jednotku]]</f>
        <v>0</v>
      </c>
      <c r="L139" s="454"/>
      <c r="M139" s="292" t="str">
        <f>IF(ISBLANK(tab_invoices[[#This Row],['#]]),"",VLOOKUP(tab_invoices[[#This Row],['#]],tab_budget[['#]:[Rozpočtová položka]],2,FALSE))</f>
        <v/>
      </c>
      <c r="N139" s="457" t="str">
        <f>IF(ISBLANK(tab_invoices[[#This Row],['#]]),"",VLOOKUP(tab_invoices[[#This Row],['#]],tab_budget[['#]:[Typ výdavku]],7,FALSE))</f>
        <v/>
      </c>
      <c r="O139" s="457" t="str">
        <f>IF(ISBLANK(tab_invoices[[#This Row],['#]]),"",VLOOKUP(tab_invoices[[#This Row],['#]],tab_budget[['#]:[Rozpočtová položka]],8,FALSE))</f>
        <v/>
      </c>
      <c r="P139" s="457" t="str">
        <f>IF(ISBLANK(tab_invoices[[#This Row],['#]]),"",VLOOKUP(tab_invoices[[#This Row],['#]],tab_budget[['#]:[Rozpočtová kapitola]],9,FALSE))</f>
        <v/>
      </c>
      <c r="Q139" s="457" t="str">
        <f>IF(ISBLANK(tab_invoices[[#This Row],['#]]),"",VLOOKUP(tab_invoices[[#This Row],['#]],tab_budget[['#]:[Realizuje]],10,FALSE))</f>
        <v/>
      </c>
      <c r="R139" s="457"/>
      <c r="S139" s="457"/>
    </row>
    <row r="140" spans="1:19" s="307" customFormat="1" ht="10.199999999999999" x14ac:dyDescent="0.2">
      <c r="A140" s="451">
        <f t="shared" si="4"/>
        <v>131</v>
      </c>
      <c r="B140" s="452"/>
      <c r="C140" s="453"/>
      <c r="D140" s="454"/>
      <c r="E140" s="454"/>
      <c r="F140" s="452"/>
      <c r="G140" s="455"/>
      <c r="H140" s="455"/>
      <c r="I140" s="452"/>
      <c r="J140" s="452"/>
      <c r="K140" s="291">
        <f>tab_invoices[[#This Row],[Množstvo]]*tab_invoices[[#This Row],[Náklady na jednotku]]</f>
        <v>0</v>
      </c>
      <c r="L140" s="454"/>
      <c r="M140" s="292" t="str">
        <f>IF(ISBLANK(tab_invoices[[#This Row],['#]]),"",VLOOKUP(tab_invoices[[#This Row],['#]],tab_budget[['#]:[Rozpočtová položka]],2,FALSE))</f>
        <v/>
      </c>
      <c r="N140" s="457" t="str">
        <f>IF(ISBLANK(tab_invoices[[#This Row],['#]]),"",VLOOKUP(tab_invoices[[#This Row],['#]],tab_budget[['#]:[Typ výdavku]],7,FALSE))</f>
        <v/>
      </c>
      <c r="O140" s="457" t="str">
        <f>IF(ISBLANK(tab_invoices[[#This Row],['#]]),"",VLOOKUP(tab_invoices[[#This Row],['#]],tab_budget[['#]:[Rozpočtová položka]],8,FALSE))</f>
        <v/>
      </c>
      <c r="P140" s="457" t="str">
        <f>IF(ISBLANK(tab_invoices[[#This Row],['#]]),"",VLOOKUP(tab_invoices[[#This Row],['#]],tab_budget[['#]:[Rozpočtová kapitola]],9,FALSE))</f>
        <v/>
      </c>
      <c r="Q140" s="457" t="str">
        <f>IF(ISBLANK(tab_invoices[[#This Row],['#]]),"",VLOOKUP(tab_invoices[[#This Row],['#]],tab_budget[['#]:[Realizuje]],10,FALSE))</f>
        <v/>
      </c>
      <c r="R140" s="457"/>
      <c r="S140" s="457"/>
    </row>
    <row r="141" spans="1:19" s="307" customFormat="1" ht="10.199999999999999" x14ac:dyDescent="0.2">
      <c r="A141" s="451">
        <f t="shared" si="4"/>
        <v>132</v>
      </c>
      <c r="B141" s="452"/>
      <c r="C141" s="453"/>
      <c r="D141" s="454"/>
      <c r="E141" s="454"/>
      <c r="F141" s="452"/>
      <c r="G141" s="455"/>
      <c r="H141" s="455"/>
      <c r="I141" s="452"/>
      <c r="J141" s="452"/>
      <c r="K141" s="291">
        <f>tab_invoices[[#This Row],[Množstvo]]*tab_invoices[[#This Row],[Náklady na jednotku]]</f>
        <v>0</v>
      </c>
      <c r="L141" s="454"/>
      <c r="M141" s="292" t="str">
        <f>IF(ISBLANK(tab_invoices[[#This Row],['#]]),"",VLOOKUP(tab_invoices[[#This Row],['#]],tab_budget[['#]:[Rozpočtová položka]],2,FALSE))</f>
        <v/>
      </c>
      <c r="N141" s="457" t="str">
        <f>IF(ISBLANK(tab_invoices[[#This Row],['#]]),"",VLOOKUP(tab_invoices[[#This Row],['#]],tab_budget[['#]:[Typ výdavku]],7,FALSE))</f>
        <v/>
      </c>
      <c r="O141" s="457" t="str">
        <f>IF(ISBLANK(tab_invoices[[#This Row],['#]]),"",VLOOKUP(tab_invoices[[#This Row],['#]],tab_budget[['#]:[Rozpočtová položka]],8,FALSE))</f>
        <v/>
      </c>
      <c r="P141" s="457" t="str">
        <f>IF(ISBLANK(tab_invoices[[#This Row],['#]]),"",VLOOKUP(tab_invoices[[#This Row],['#]],tab_budget[['#]:[Rozpočtová kapitola]],9,FALSE))</f>
        <v/>
      </c>
      <c r="Q141" s="457" t="str">
        <f>IF(ISBLANK(tab_invoices[[#This Row],['#]]),"",VLOOKUP(tab_invoices[[#This Row],['#]],tab_budget[['#]:[Realizuje]],10,FALSE))</f>
        <v/>
      </c>
      <c r="R141" s="457"/>
      <c r="S141" s="457"/>
    </row>
    <row r="142" spans="1:19" s="307" customFormat="1" ht="10.199999999999999" x14ac:dyDescent="0.2">
      <c r="A142" s="451">
        <f t="shared" si="4"/>
        <v>133</v>
      </c>
      <c r="B142" s="452"/>
      <c r="C142" s="453"/>
      <c r="D142" s="454"/>
      <c r="E142" s="454"/>
      <c r="F142" s="452"/>
      <c r="G142" s="455"/>
      <c r="H142" s="455"/>
      <c r="I142" s="452"/>
      <c r="J142" s="452"/>
      <c r="K142" s="291">
        <f>tab_invoices[[#This Row],[Množstvo]]*tab_invoices[[#This Row],[Náklady na jednotku]]</f>
        <v>0</v>
      </c>
      <c r="L142" s="454"/>
      <c r="M142" s="292" t="str">
        <f>IF(ISBLANK(tab_invoices[[#This Row],['#]]),"",VLOOKUP(tab_invoices[[#This Row],['#]],tab_budget[['#]:[Rozpočtová položka]],2,FALSE))</f>
        <v/>
      </c>
      <c r="N142" s="457" t="str">
        <f>IF(ISBLANK(tab_invoices[[#This Row],['#]]),"",VLOOKUP(tab_invoices[[#This Row],['#]],tab_budget[['#]:[Typ výdavku]],7,FALSE))</f>
        <v/>
      </c>
      <c r="O142" s="457" t="str">
        <f>IF(ISBLANK(tab_invoices[[#This Row],['#]]),"",VLOOKUP(tab_invoices[[#This Row],['#]],tab_budget[['#]:[Rozpočtová položka]],8,FALSE))</f>
        <v/>
      </c>
      <c r="P142" s="457" t="str">
        <f>IF(ISBLANK(tab_invoices[[#This Row],['#]]),"",VLOOKUP(tab_invoices[[#This Row],['#]],tab_budget[['#]:[Rozpočtová kapitola]],9,FALSE))</f>
        <v/>
      </c>
      <c r="Q142" s="457" t="str">
        <f>IF(ISBLANK(tab_invoices[[#This Row],['#]]),"",VLOOKUP(tab_invoices[[#This Row],['#]],tab_budget[['#]:[Realizuje]],10,FALSE))</f>
        <v/>
      </c>
      <c r="R142" s="457"/>
      <c r="S142" s="457"/>
    </row>
    <row r="143" spans="1:19" s="307" customFormat="1" ht="10.199999999999999" x14ac:dyDescent="0.2">
      <c r="A143" s="451">
        <f t="shared" si="4"/>
        <v>134</v>
      </c>
      <c r="B143" s="452"/>
      <c r="C143" s="453"/>
      <c r="D143" s="454"/>
      <c r="E143" s="454"/>
      <c r="F143" s="452"/>
      <c r="G143" s="455"/>
      <c r="H143" s="455"/>
      <c r="I143" s="452"/>
      <c r="J143" s="452"/>
      <c r="K143" s="291">
        <f>tab_invoices[[#This Row],[Množstvo]]*tab_invoices[[#This Row],[Náklady na jednotku]]</f>
        <v>0</v>
      </c>
      <c r="L143" s="454"/>
      <c r="M143" s="292" t="str">
        <f>IF(ISBLANK(tab_invoices[[#This Row],['#]]),"",VLOOKUP(tab_invoices[[#This Row],['#]],tab_budget[['#]:[Rozpočtová položka]],2,FALSE))</f>
        <v/>
      </c>
      <c r="N143" s="457" t="str">
        <f>IF(ISBLANK(tab_invoices[[#This Row],['#]]),"",VLOOKUP(tab_invoices[[#This Row],['#]],tab_budget[['#]:[Typ výdavku]],7,FALSE))</f>
        <v/>
      </c>
      <c r="O143" s="457" t="str">
        <f>IF(ISBLANK(tab_invoices[[#This Row],['#]]),"",VLOOKUP(tab_invoices[[#This Row],['#]],tab_budget[['#]:[Rozpočtová položka]],8,FALSE))</f>
        <v/>
      </c>
      <c r="P143" s="457" t="str">
        <f>IF(ISBLANK(tab_invoices[[#This Row],['#]]),"",VLOOKUP(tab_invoices[[#This Row],['#]],tab_budget[['#]:[Rozpočtová kapitola]],9,FALSE))</f>
        <v/>
      </c>
      <c r="Q143" s="457" t="str">
        <f>IF(ISBLANK(tab_invoices[[#This Row],['#]]),"",VLOOKUP(tab_invoices[[#This Row],['#]],tab_budget[['#]:[Realizuje]],10,FALSE))</f>
        <v/>
      </c>
      <c r="R143" s="457"/>
      <c r="S143" s="457"/>
    </row>
    <row r="144" spans="1:19" s="307" customFormat="1" ht="10.199999999999999" x14ac:dyDescent="0.2">
      <c r="A144" s="451">
        <f t="shared" si="4"/>
        <v>135</v>
      </c>
      <c r="B144" s="452"/>
      <c r="C144" s="453"/>
      <c r="D144" s="454"/>
      <c r="E144" s="454"/>
      <c r="F144" s="452"/>
      <c r="G144" s="455"/>
      <c r="H144" s="455"/>
      <c r="I144" s="452"/>
      <c r="J144" s="452"/>
      <c r="K144" s="291">
        <f>tab_invoices[[#This Row],[Množstvo]]*tab_invoices[[#This Row],[Náklady na jednotku]]</f>
        <v>0</v>
      </c>
      <c r="L144" s="454"/>
      <c r="M144" s="292" t="str">
        <f>IF(ISBLANK(tab_invoices[[#This Row],['#]]),"",VLOOKUP(tab_invoices[[#This Row],['#]],tab_budget[['#]:[Rozpočtová položka]],2,FALSE))</f>
        <v/>
      </c>
      <c r="N144" s="457" t="str">
        <f>IF(ISBLANK(tab_invoices[[#This Row],['#]]),"",VLOOKUP(tab_invoices[[#This Row],['#]],tab_budget[['#]:[Typ výdavku]],7,FALSE))</f>
        <v/>
      </c>
      <c r="O144" s="457" t="str">
        <f>IF(ISBLANK(tab_invoices[[#This Row],['#]]),"",VLOOKUP(tab_invoices[[#This Row],['#]],tab_budget[['#]:[Rozpočtová položka]],8,FALSE))</f>
        <v/>
      </c>
      <c r="P144" s="457" t="str">
        <f>IF(ISBLANK(tab_invoices[[#This Row],['#]]),"",VLOOKUP(tab_invoices[[#This Row],['#]],tab_budget[['#]:[Rozpočtová kapitola]],9,FALSE))</f>
        <v/>
      </c>
      <c r="Q144" s="457" t="str">
        <f>IF(ISBLANK(tab_invoices[[#This Row],['#]]),"",VLOOKUP(tab_invoices[[#This Row],['#]],tab_budget[['#]:[Realizuje]],10,FALSE))</f>
        <v/>
      </c>
      <c r="R144" s="457"/>
      <c r="S144" s="457"/>
    </row>
    <row r="145" spans="1:19" s="307" customFormat="1" ht="10.199999999999999" x14ac:dyDescent="0.2">
      <c r="A145" s="451">
        <f t="shared" si="4"/>
        <v>136</v>
      </c>
      <c r="B145" s="452"/>
      <c r="C145" s="453"/>
      <c r="D145" s="454"/>
      <c r="E145" s="454"/>
      <c r="F145" s="452"/>
      <c r="G145" s="455"/>
      <c r="H145" s="455"/>
      <c r="I145" s="452"/>
      <c r="J145" s="452"/>
      <c r="K145" s="291">
        <f>tab_invoices[[#This Row],[Množstvo]]*tab_invoices[[#This Row],[Náklady na jednotku]]</f>
        <v>0</v>
      </c>
      <c r="L145" s="454"/>
      <c r="M145" s="292" t="str">
        <f>IF(ISBLANK(tab_invoices[[#This Row],['#]]),"",VLOOKUP(tab_invoices[[#This Row],['#]],tab_budget[['#]:[Rozpočtová položka]],2,FALSE))</f>
        <v/>
      </c>
      <c r="N145" s="457" t="str">
        <f>IF(ISBLANK(tab_invoices[[#This Row],['#]]),"",VLOOKUP(tab_invoices[[#This Row],['#]],tab_budget[['#]:[Typ výdavku]],7,FALSE))</f>
        <v/>
      </c>
      <c r="O145" s="457" t="str">
        <f>IF(ISBLANK(tab_invoices[[#This Row],['#]]),"",VLOOKUP(tab_invoices[[#This Row],['#]],tab_budget[['#]:[Rozpočtová položka]],8,FALSE))</f>
        <v/>
      </c>
      <c r="P145" s="457" t="str">
        <f>IF(ISBLANK(tab_invoices[[#This Row],['#]]),"",VLOOKUP(tab_invoices[[#This Row],['#]],tab_budget[['#]:[Rozpočtová kapitola]],9,FALSE))</f>
        <v/>
      </c>
      <c r="Q145" s="457" t="str">
        <f>IF(ISBLANK(tab_invoices[[#This Row],['#]]),"",VLOOKUP(tab_invoices[[#This Row],['#]],tab_budget[['#]:[Realizuje]],10,FALSE))</f>
        <v/>
      </c>
      <c r="R145" s="457"/>
      <c r="S145" s="457"/>
    </row>
    <row r="146" spans="1:19" s="307" customFormat="1" ht="10.199999999999999" x14ac:dyDescent="0.2">
      <c r="A146" s="451">
        <f t="shared" si="4"/>
        <v>137</v>
      </c>
      <c r="B146" s="452"/>
      <c r="C146" s="453"/>
      <c r="D146" s="454"/>
      <c r="E146" s="454"/>
      <c r="F146" s="452"/>
      <c r="G146" s="455"/>
      <c r="H146" s="455"/>
      <c r="I146" s="452"/>
      <c r="J146" s="452"/>
      <c r="K146" s="291">
        <f>tab_invoices[[#This Row],[Množstvo]]*tab_invoices[[#This Row],[Náklady na jednotku]]</f>
        <v>0</v>
      </c>
      <c r="L146" s="454"/>
      <c r="M146" s="292" t="str">
        <f>IF(ISBLANK(tab_invoices[[#This Row],['#]]),"",VLOOKUP(tab_invoices[[#This Row],['#]],tab_budget[['#]:[Rozpočtová položka]],2,FALSE))</f>
        <v/>
      </c>
      <c r="N146" s="457" t="str">
        <f>IF(ISBLANK(tab_invoices[[#This Row],['#]]),"",VLOOKUP(tab_invoices[[#This Row],['#]],tab_budget[['#]:[Typ výdavku]],7,FALSE))</f>
        <v/>
      </c>
      <c r="O146" s="457" t="str">
        <f>IF(ISBLANK(tab_invoices[[#This Row],['#]]),"",VLOOKUP(tab_invoices[[#This Row],['#]],tab_budget[['#]:[Rozpočtová položka]],8,FALSE))</f>
        <v/>
      </c>
      <c r="P146" s="457" t="str">
        <f>IF(ISBLANK(tab_invoices[[#This Row],['#]]),"",VLOOKUP(tab_invoices[[#This Row],['#]],tab_budget[['#]:[Rozpočtová kapitola]],9,FALSE))</f>
        <v/>
      </c>
      <c r="Q146" s="457" t="str">
        <f>IF(ISBLANK(tab_invoices[[#This Row],['#]]),"",VLOOKUP(tab_invoices[[#This Row],['#]],tab_budget[['#]:[Realizuje]],10,FALSE))</f>
        <v/>
      </c>
      <c r="R146" s="457"/>
      <c r="S146" s="457"/>
    </row>
    <row r="147" spans="1:19" s="307" customFormat="1" ht="10.199999999999999" x14ac:dyDescent="0.2">
      <c r="A147" s="451">
        <f t="shared" si="4"/>
        <v>138</v>
      </c>
      <c r="B147" s="452"/>
      <c r="C147" s="453"/>
      <c r="D147" s="454"/>
      <c r="E147" s="454"/>
      <c r="F147" s="452"/>
      <c r="G147" s="455"/>
      <c r="H147" s="455"/>
      <c r="I147" s="452"/>
      <c r="J147" s="452"/>
      <c r="K147" s="291">
        <f>tab_invoices[[#This Row],[Množstvo]]*tab_invoices[[#This Row],[Náklady na jednotku]]</f>
        <v>0</v>
      </c>
      <c r="L147" s="454"/>
      <c r="M147" s="292" t="str">
        <f>IF(ISBLANK(tab_invoices[[#This Row],['#]]),"",VLOOKUP(tab_invoices[[#This Row],['#]],tab_budget[['#]:[Rozpočtová položka]],2,FALSE))</f>
        <v/>
      </c>
      <c r="N147" s="457" t="str">
        <f>IF(ISBLANK(tab_invoices[[#This Row],['#]]),"",VLOOKUP(tab_invoices[[#This Row],['#]],tab_budget[['#]:[Typ výdavku]],7,FALSE))</f>
        <v/>
      </c>
      <c r="O147" s="457" t="str">
        <f>IF(ISBLANK(tab_invoices[[#This Row],['#]]),"",VLOOKUP(tab_invoices[[#This Row],['#]],tab_budget[['#]:[Rozpočtová položka]],8,FALSE))</f>
        <v/>
      </c>
      <c r="P147" s="457" t="str">
        <f>IF(ISBLANK(tab_invoices[[#This Row],['#]]),"",VLOOKUP(tab_invoices[[#This Row],['#]],tab_budget[['#]:[Rozpočtová kapitola]],9,FALSE))</f>
        <v/>
      </c>
      <c r="Q147" s="457" t="str">
        <f>IF(ISBLANK(tab_invoices[[#This Row],['#]]),"",VLOOKUP(tab_invoices[[#This Row],['#]],tab_budget[['#]:[Realizuje]],10,FALSE))</f>
        <v/>
      </c>
      <c r="R147" s="457"/>
      <c r="S147" s="457"/>
    </row>
    <row r="148" spans="1:19" s="307" customFormat="1" ht="10.199999999999999" x14ac:dyDescent="0.2">
      <c r="A148" s="451">
        <f t="shared" si="4"/>
        <v>139</v>
      </c>
      <c r="B148" s="452"/>
      <c r="C148" s="453"/>
      <c r="D148" s="454"/>
      <c r="E148" s="454"/>
      <c r="F148" s="452"/>
      <c r="G148" s="455"/>
      <c r="H148" s="455"/>
      <c r="I148" s="452"/>
      <c r="J148" s="452"/>
      <c r="K148" s="291">
        <f>tab_invoices[[#This Row],[Množstvo]]*tab_invoices[[#This Row],[Náklady na jednotku]]</f>
        <v>0</v>
      </c>
      <c r="L148" s="454"/>
      <c r="M148" s="292" t="str">
        <f>IF(ISBLANK(tab_invoices[[#This Row],['#]]),"",VLOOKUP(tab_invoices[[#This Row],['#]],tab_budget[['#]:[Rozpočtová položka]],2,FALSE))</f>
        <v/>
      </c>
      <c r="N148" s="457" t="str">
        <f>IF(ISBLANK(tab_invoices[[#This Row],['#]]),"",VLOOKUP(tab_invoices[[#This Row],['#]],tab_budget[['#]:[Typ výdavku]],7,FALSE))</f>
        <v/>
      </c>
      <c r="O148" s="457" t="str">
        <f>IF(ISBLANK(tab_invoices[[#This Row],['#]]),"",VLOOKUP(tab_invoices[[#This Row],['#]],tab_budget[['#]:[Rozpočtová položka]],8,FALSE))</f>
        <v/>
      </c>
      <c r="P148" s="457" t="str">
        <f>IF(ISBLANK(tab_invoices[[#This Row],['#]]),"",VLOOKUP(tab_invoices[[#This Row],['#]],tab_budget[['#]:[Rozpočtová kapitola]],9,FALSE))</f>
        <v/>
      </c>
      <c r="Q148" s="457" t="str">
        <f>IF(ISBLANK(tab_invoices[[#This Row],['#]]),"",VLOOKUP(tab_invoices[[#This Row],['#]],tab_budget[['#]:[Realizuje]],10,FALSE))</f>
        <v/>
      </c>
      <c r="R148" s="457"/>
      <c r="S148" s="457"/>
    </row>
    <row r="149" spans="1:19" s="307" customFormat="1" ht="10.199999999999999" x14ac:dyDescent="0.2">
      <c r="A149" s="451">
        <f t="shared" si="4"/>
        <v>140</v>
      </c>
      <c r="B149" s="452"/>
      <c r="C149" s="453"/>
      <c r="D149" s="454"/>
      <c r="E149" s="454"/>
      <c r="F149" s="452"/>
      <c r="G149" s="455"/>
      <c r="H149" s="455"/>
      <c r="I149" s="452"/>
      <c r="J149" s="452"/>
      <c r="K149" s="291">
        <f>tab_invoices[[#This Row],[Množstvo]]*tab_invoices[[#This Row],[Náklady na jednotku]]</f>
        <v>0</v>
      </c>
      <c r="L149" s="454"/>
      <c r="M149" s="292" t="str">
        <f>IF(ISBLANK(tab_invoices[[#This Row],['#]]),"",VLOOKUP(tab_invoices[[#This Row],['#]],tab_budget[['#]:[Rozpočtová položka]],2,FALSE))</f>
        <v/>
      </c>
      <c r="N149" s="457" t="str">
        <f>IF(ISBLANK(tab_invoices[[#This Row],['#]]),"",VLOOKUP(tab_invoices[[#This Row],['#]],tab_budget[['#]:[Typ výdavku]],7,FALSE))</f>
        <v/>
      </c>
      <c r="O149" s="457" t="str">
        <f>IF(ISBLANK(tab_invoices[[#This Row],['#]]),"",VLOOKUP(tab_invoices[[#This Row],['#]],tab_budget[['#]:[Rozpočtová položka]],8,FALSE))</f>
        <v/>
      </c>
      <c r="P149" s="457" t="str">
        <f>IF(ISBLANK(tab_invoices[[#This Row],['#]]),"",VLOOKUP(tab_invoices[[#This Row],['#]],tab_budget[['#]:[Rozpočtová kapitola]],9,FALSE))</f>
        <v/>
      </c>
      <c r="Q149" s="457" t="str">
        <f>IF(ISBLANK(tab_invoices[[#This Row],['#]]),"",VLOOKUP(tab_invoices[[#This Row],['#]],tab_budget[['#]:[Realizuje]],10,FALSE))</f>
        <v/>
      </c>
      <c r="R149" s="457"/>
      <c r="S149" s="457"/>
    </row>
    <row r="150" spans="1:19" s="307" customFormat="1" ht="10.199999999999999" x14ac:dyDescent="0.2">
      <c r="A150" s="451">
        <f t="shared" si="4"/>
        <v>141</v>
      </c>
      <c r="B150" s="452"/>
      <c r="C150" s="453"/>
      <c r="D150" s="454"/>
      <c r="E150" s="454"/>
      <c r="F150" s="452"/>
      <c r="G150" s="455"/>
      <c r="H150" s="455"/>
      <c r="I150" s="452"/>
      <c r="J150" s="452"/>
      <c r="K150" s="291">
        <f>tab_invoices[[#This Row],[Množstvo]]*tab_invoices[[#This Row],[Náklady na jednotku]]</f>
        <v>0</v>
      </c>
      <c r="L150" s="454"/>
      <c r="M150" s="292" t="str">
        <f>IF(ISBLANK(tab_invoices[[#This Row],['#]]),"",VLOOKUP(tab_invoices[[#This Row],['#]],tab_budget[['#]:[Rozpočtová položka]],2,FALSE))</f>
        <v/>
      </c>
      <c r="N150" s="457" t="str">
        <f>IF(ISBLANK(tab_invoices[[#This Row],['#]]),"",VLOOKUP(tab_invoices[[#This Row],['#]],tab_budget[['#]:[Typ výdavku]],7,FALSE))</f>
        <v/>
      </c>
      <c r="O150" s="457" t="str">
        <f>IF(ISBLANK(tab_invoices[[#This Row],['#]]),"",VLOOKUP(tab_invoices[[#This Row],['#]],tab_budget[['#]:[Rozpočtová položka]],8,FALSE))</f>
        <v/>
      </c>
      <c r="P150" s="457" t="str">
        <f>IF(ISBLANK(tab_invoices[[#This Row],['#]]),"",VLOOKUP(tab_invoices[[#This Row],['#]],tab_budget[['#]:[Rozpočtová kapitola]],9,FALSE))</f>
        <v/>
      </c>
      <c r="Q150" s="457" t="str">
        <f>IF(ISBLANK(tab_invoices[[#This Row],['#]]),"",VLOOKUP(tab_invoices[[#This Row],['#]],tab_budget[['#]:[Realizuje]],10,FALSE))</f>
        <v/>
      </c>
      <c r="R150" s="457"/>
      <c r="S150" s="457"/>
    </row>
    <row r="151" spans="1:19" s="307" customFormat="1" ht="10.199999999999999" x14ac:dyDescent="0.2">
      <c r="A151" s="451">
        <f t="shared" si="4"/>
        <v>142</v>
      </c>
      <c r="B151" s="452"/>
      <c r="C151" s="453"/>
      <c r="D151" s="454"/>
      <c r="E151" s="454"/>
      <c r="F151" s="452"/>
      <c r="G151" s="455"/>
      <c r="H151" s="455"/>
      <c r="I151" s="452"/>
      <c r="J151" s="452"/>
      <c r="K151" s="291">
        <f>tab_invoices[[#This Row],[Množstvo]]*tab_invoices[[#This Row],[Náklady na jednotku]]</f>
        <v>0</v>
      </c>
      <c r="L151" s="454"/>
      <c r="M151" s="292" t="str">
        <f>IF(ISBLANK(tab_invoices[[#This Row],['#]]),"",VLOOKUP(tab_invoices[[#This Row],['#]],tab_budget[['#]:[Rozpočtová položka]],2,FALSE))</f>
        <v/>
      </c>
      <c r="N151" s="457" t="str">
        <f>IF(ISBLANK(tab_invoices[[#This Row],['#]]),"",VLOOKUP(tab_invoices[[#This Row],['#]],tab_budget[['#]:[Typ výdavku]],7,FALSE))</f>
        <v/>
      </c>
      <c r="O151" s="457" t="str">
        <f>IF(ISBLANK(tab_invoices[[#This Row],['#]]),"",VLOOKUP(tab_invoices[[#This Row],['#]],tab_budget[['#]:[Rozpočtová položka]],8,FALSE))</f>
        <v/>
      </c>
      <c r="P151" s="457" t="str">
        <f>IF(ISBLANK(tab_invoices[[#This Row],['#]]),"",VLOOKUP(tab_invoices[[#This Row],['#]],tab_budget[['#]:[Rozpočtová kapitola]],9,FALSE))</f>
        <v/>
      </c>
      <c r="Q151" s="457" t="str">
        <f>IF(ISBLANK(tab_invoices[[#This Row],['#]]),"",VLOOKUP(tab_invoices[[#This Row],['#]],tab_budget[['#]:[Realizuje]],10,FALSE))</f>
        <v/>
      </c>
      <c r="R151" s="457"/>
      <c r="S151" s="457"/>
    </row>
    <row r="152" spans="1:19" s="307" customFormat="1" ht="10.199999999999999" x14ac:dyDescent="0.2">
      <c r="A152" s="451">
        <f t="shared" si="4"/>
        <v>143</v>
      </c>
      <c r="B152" s="452"/>
      <c r="C152" s="453"/>
      <c r="D152" s="454"/>
      <c r="E152" s="454"/>
      <c r="F152" s="452"/>
      <c r="G152" s="455"/>
      <c r="H152" s="455"/>
      <c r="I152" s="452"/>
      <c r="J152" s="452"/>
      <c r="K152" s="291">
        <f>tab_invoices[[#This Row],[Množstvo]]*tab_invoices[[#This Row],[Náklady na jednotku]]</f>
        <v>0</v>
      </c>
      <c r="L152" s="454"/>
      <c r="M152" s="292" t="str">
        <f>IF(ISBLANK(tab_invoices[[#This Row],['#]]),"",VLOOKUP(tab_invoices[[#This Row],['#]],tab_budget[['#]:[Rozpočtová položka]],2,FALSE))</f>
        <v/>
      </c>
      <c r="N152" s="457" t="str">
        <f>IF(ISBLANK(tab_invoices[[#This Row],['#]]),"",VLOOKUP(tab_invoices[[#This Row],['#]],tab_budget[['#]:[Typ výdavku]],7,FALSE))</f>
        <v/>
      </c>
      <c r="O152" s="457" t="str">
        <f>IF(ISBLANK(tab_invoices[[#This Row],['#]]),"",VLOOKUP(tab_invoices[[#This Row],['#]],tab_budget[['#]:[Rozpočtová položka]],8,FALSE))</f>
        <v/>
      </c>
      <c r="P152" s="457" t="str">
        <f>IF(ISBLANK(tab_invoices[[#This Row],['#]]),"",VLOOKUP(tab_invoices[[#This Row],['#]],tab_budget[['#]:[Rozpočtová kapitola]],9,FALSE))</f>
        <v/>
      </c>
      <c r="Q152" s="457" t="str">
        <f>IF(ISBLANK(tab_invoices[[#This Row],['#]]),"",VLOOKUP(tab_invoices[[#This Row],['#]],tab_budget[['#]:[Realizuje]],10,FALSE))</f>
        <v/>
      </c>
      <c r="R152" s="457"/>
      <c r="S152" s="457"/>
    </row>
    <row r="153" spans="1:19" s="307" customFormat="1" ht="10.199999999999999" x14ac:dyDescent="0.2">
      <c r="A153" s="451">
        <f t="shared" si="4"/>
        <v>144</v>
      </c>
      <c r="B153" s="452"/>
      <c r="C153" s="453"/>
      <c r="D153" s="454"/>
      <c r="E153" s="454"/>
      <c r="F153" s="452"/>
      <c r="G153" s="455"/>
      <c r="H153" s="455"/>
      <c r="I153" s="452"/>
      <c r="J153" s="452"/>
      <c r="K153" s="291">
        <f>tab_invoices[[#This Row],[Množstvo]]*tab_invoices[[#This Row],[Náklady na jednotku]]</f>
        <v>0</v>
      </c>
      <c r="L153" s="454"/>
      <c r="M153" s="292" t="str">
        <f>IF(ISBLANK(tab_invoices[[#This Row],['#]]),"",VLOOKUP(tab_invoices[[#This Row],['#]],tab_budget[['#]:[Rozpočtová položka]],2,FALSE))</f>
        <v/>
      </c>
      <c r="N153" s="457" t="str">
        <f>IF(ISBLANK(tab_invoices[[#This Row],['#]]),"",VLOOKUP(tab_invoices[[#This Row],['#]],tab_budget[['#]:[Typ výdavku]],7,FALSE))</f>
        <v/>
      </c>
      <c r="O153" s="457" t="str">
        <f>IF(ISBLANK(tab_invoices[[#This Row],['#]]),"",VLOOKUP(tab_invoices[[#This Row],['#]],tab_budget[['#]:[Rozpočtová položka]],8,FALSE))</f>
        <v/>
      </c>
      <c r="P153" s="457" t="str">
        <f>IF(ISBLANK(tab_invoices[[#This Row],['#]]),"",VLOOKUP(tab_invoices[[#This Row],['#]],tab_budget[['#]:[Rozpočtová kapitola]],9,FALSE))</f>
        <v/>
      </c>
      <c r="Q153" s="457" t="str">
        <f>IF(ISBLANK(tab_invoices[[#This Row],['#]]),"",VLOOKUP(tab_invoices[[#This Row],['#]],tab_budget[['#]:[Realizuje]],10,FALSE))</f>
        <v/>
      </c>
      <c r="R153" s="457"/>
      <c r="S153" s="457"/>
    </row>
    <row r="154" spans="1:19" s="307" customFormat="1" ht="10.199999999999999" x14ac:dyDescent="0.2">
      <c r="A154" s="451">
        <f t="shared" si="4"/>
        <v>145</v>
      </c>
      <c r="B154" s="452"/>
      <c r="C154" s="453"/>
      <c r="D154" s="454"/>
      <c r="E154" s="454"/>
      <c r="F154" s="452"/>
      <c r="G154" s="455"/>
      <c r="H154" s="455"/>
      <c r="I154" s="452"/>
      <c r="J154" s="452"/>
      <c r="K154" s="291">
        <f>tab_invoices[[#This Row],[Množstvo]]*tab_invoices[[#This Row],[Náklady na jednotku]]</f>
        <v>0</v>
      </c>
      <c r="L154" s="454"/>
      <c r="M154" s="292" t="str">
        <f>IF(ISBLANK(tab_invoices[[#This Row],['#]]),"",VLOOKUP(tab_invoices[[#This Row],['#]],tab_budget[['#]:[Rozpočtová položka]],2,FALSE))</f>
        <v/>
      </c>
      <c r="N154" s="457" t="str">
        <f>IF(ISBLANK(tab_invoices[[#This Row],['#]]),"",VLOOKUP(tab_invoices[[#This Row],['#]],tab_budget[['#]:[Typ výdavku]],7,FALSE))</f>
        <v/>
      </c>
      <c r="O154" s="457" t="str">
        <f>IF(ISBLANK(tab_invoices[[#This Row],['#]]),"",VLOOKUP(tab_invoices[[#This Row],['#]],tab_budget[['#]:[Rozpočtová položka]],8,FALSE))</f>
        <v/>
      </c>
      <c r="P154" s="457" t="str">
        <f>IF(ISBLANK(tab_invoices[[#This Row],['#]]),"",VLOOKUP(tab_invoices[[#This Row],['#]],tab_budget[['#]:[Rozpočtová kapitola]],9,FALSE))</f>
        <v/>
      </c>
      <c r="Q154" s="457" t="str">
        <f>IF(ISBLANK(tab_invoices[[#This Row],['#]]),"",VLOOKUP(tab_invoices[[#This Row],['#]],tab_budget[['#]:[Realizuje]],10,FALSE))</f>
        <v/>
      </c>
      <c r="R154" s="457"/>
      <c r="S154" s="457"/>
    </row>
    <row r="155" spans="1:19" s="307" customFormat="1" ht="10.199999999999999" x14ac:dyDescent="0.2">
      <c r="A155" s="451">
        <f t="shared" si="4"/>
        <v>146</v>
      </c>
      <c r="B155" s="452"/>
      <c r="C155" s="453"/>
      <c r="D155" s="454"/>
      <c r="E155" s="454"/>
      <c r="F155" s="452"/>
      <c r="G155" s="455"/>
      <c r="H155" s="455"/>
      <c r="I155" s="452"/>
      <c r="J155" s="452"/>
      <c r="K155" s="291">
        <f>tab_invoices[[#This Row],[Množstvo]]*tab_invoices[[#This Row],[Náklady na jednotku]]</f>
        <v>0</v>
      </c>
      <c r="L155" s="454"/>
      <c r="M155" s="292" t="str">
        <f>IF(ISBLANK(tab_invoices[[#This Row],['#]]),"",VLOOKUP(tab_invoices[[#This Row],['#]],tab_budget[['#]:[Rozpočtová položka]],2,FALSE))</f>
        <v/>
      </c>
      <c r="N155" s="457" t="str">
        <f>IF(ISBLANK(tab_invoices[[#This Row],['#]]),"",VLOOKUP(tab_invoices[[#This Row],['#]],tab_budget[['#]:[Typ výdavku]],7,FALSE))</f>
        <v/>
      </c>
      <c r="O155" s="457" t="str">
        <f>IF(ISBLANK(tab_invoices[[#This Row],['#]]),"",VLOOKUP(tab_invoices[[#This Row],['#]],tab_budget[['#]:[Rozpočtová položka]],8,FALSE))</f>
        <v/>
      </c>
      <c r="P155" s="457" t="str">
        <f>IF(ISBLANK(tab_invoices[[#This Row],['#]]),"",VLOOKUP(tab_invoices[[#This Row],['#]],tab_budget[['#]:[Rozpočtová kapitola]],9,FALSE))</f>
        <v/>
      </c>
      <c r="Q155" s="457" t="str">
        <f>IF(ISBLANK(tab_invoices[[#This Row],['#]]),"",VLOOKUP(tab_invoices[[#This Row],['#]],tab_budget[['#]:[Realizuje]],10,FALSE))</f>
        <v/>
      </c>
      <c r="R155" s="457"/>
      <c r="S155" s="457"/>
    </row>
    <row r="156" spans="1:19" s="307" customFormat="1" ht="10.199999999999999" x14ac:dyDescent="0.2">
      <c r="A156" s="451">
        <f t="shared" si="4"/>
        <v>147</v>
      </c>
      <c r="B156" s="452"/>
      <c r="C156" s="453"/>
      <c r="D156" s="454"/>
      <c r="E156" s="454"/>
      <c r="F156" s="452"/>
      <c r="G156" s="455"/>
      <c r="H156" s="455"/>
      <c r="I156" s="452"/>
      <c r="J156" s="452"/>
      <c r="K156" s="291">
        <f>tab_invoices[[#This Row],[Množstvo]]*tab_invoices[[#This Row],[Náklady na jednotku]]</f>
        <v>0</v>
      </c>
      <c r="L156" s="454"/>
      <c r="M156" s="292" t="str">
        <f>IF(ISBLANK(tab_invoices[[#This Row],['#]]),"",VLOOKUP(tab_invoices[[#This Row],['#]],tab_budget[['#]:[Rozpočtová položka]],2,FALSE))</f>
        <v/>
      </c>
      <c r="N156" s="457" t="str">
        <f>IF(ISBLANK(tab_invoices[[#This Row],['#]]),"",VLOOKUP(tab_invoices[[#This Row],['#]],tab_budget[['#]:[Typ výdavku]],7,FALSE))</f>
        <v/>
      </c>
      <c r="O156" s="457" t="str">
        <f>IF(ISBLANK(tab_invoices[[#This Row],['#]]),"",VLOOKUP(tab_invoices[[#This Row],['#]],tab_budget[['#]:[Rozpočtová položka]],8,FALSE))</f>
        <v/>
      </c>
      <c r="P156" s="457" t="str">
        <f>IF(ISBLANK(tab_invoices[[#This Row],['#]]),"",VLOOKUP(tab_invoices[[#This Row],['#]],tab_budget[['#]:[Rozpočtová kapitola]],9,FALSE))</f>
        <v/>
      </c>
      <c r="Q156" s="457" t="str">
        <f>IF(ISBLANK(tab_invoices[[#This Row],['#]]),"",VLOOKUP(tab_invoices[[#This Row],['#]],tab_budget[['#]:[Realizuje]],10,FALSE))</f>
        <v/>
      </c>
      <c r="R156" s="457"/>
      <c r="S156" s="457"/>
    </row>
    <row r="157" spans="1:19" s="307" customFormat="1" ht="10.199999999999999" x14ac:dyDescent="0.2">
      <c r="A157" s="451">
        <f t="shared" si="4"/>
        <v>148</v>
      </c>
      <c r="B157" s="452"/>
      <c r="C157" s="453"/>
      <c r="D157" s="454"/>
      <c r="E157" s="454"/>
      <c r="F157" s="452"/>
      <c r="G157" s="455"/>
      <c r="H157" s="455"/>
      <c r="I157" s="452"/>
      <c r="J157" s="452"/>
      <c r="K157" s="291">
        <f>tab_invoices[[#This Row],[Množstvo]]*tab_invoices[[#This Row],[Náklady na jednotku]]</f>
        <v>0</v>
      </c>
      <c r="L157" s="454"/>
      <c r="M157" s="292" t="str">
        <f>IF(ISBLANK(tab_invoices[[#This Row],['#]]),"",VLOOKUP(tab_invoices[[#This Row],['#]],tab_budget[['#]:[Rozpočtová položka]],2,FALSE))</f>
        <v/>
      </c>
      <c r="N157" s="457" t="str">
        <f>IF(ISBLANK(tab_invoices[[#This Row],['#]]),"",VLOOKUP(tab_invoices[[#This Row],['#]],tab_budget[['#]:[Typ výdavku]],7,FALSE))</f>
        <v/>
      </c>
      <c r="O157" s="457" t="str">
        <f>IF(ISBLANK(tab_invoices[[#This Row],['#]]),"",VLOOKUP(tab_invoices[[#This Row],['#]],tab_budget[['#]:[Rozpočtová položka]],8,FALSE))</f>
        <v/>
      </c>
      <c r="P157" s="457" t="str">
        <f>IF(ISBLANK(tab_invoices[[#This Row],['#]]),"",VLOOKUP(tab_invoices[[#This Row],['#]],tab_budget[['#]:[Rozpočtová kapitola]],9,FALSE))</f>
        <v/>
      </c>
      <c r="Q157" s="457" t="str">
        <f>IF(ISBLANK(tab_invoices[[#This Row],['#]]),"",VLOOKUP(tab_invoices[[#This Row],['#]],tab_budget[['#]:[Realizuje]],10,FALSE))</f>
        <v/>
      </c>
      <c r="R157" s="457"/>
      <c r="S157" s="457"/>
    </row>
    <row r="158" spans="1:19" s="307" customFormat="1" ht="10.199999999999999" x14ac:dyDescent="0.2">
      <c r="A158" s="451">
        <f t="shared" si="4"/>
        <v>149</v>
      </c>
      <c r="B158" s="452"/>
      <c r="C158" s="453"/>
      <c r="D158" s="454"/>
      <c r="E158" s="454"/>
      <c r="F158" s="452"/>
      <c r="G158" s="455"/>
      <c r="H158" s="455"/>
      <c r="I158" s="452"/>
      <c r="J158" s="452"/>
      <c r="K158" s="291">
        <f>tab_invoices[[#This Row],[Množstvo]]*tab_invoices[[#This Row],[Náklady na jednotku]]</f>
        <v>0</v>
      </c>
      <c r="L158" s="454"/>
      <c r="M158" s="292" t="str">
        <f>IF(ISBLANK(tab_invoices[[#This Row],['#]]),"",VLOOKUP(tab_invoices[[#This Row],['#]],tab_budget[['#]:[Rozpočtová položka]],2,FALSE))</f>
        <v/>
      </c>
      <c r="N158" s="457" t="str">
        <f>IF(ISBLANK(tab_invoices[[#This Row],['#]]),"",VLOOKUP(tab_invoices[[#This Row],['#]],tab_budget[['#]:[Typ výdavku]],7,FALSE))</f>
        <v/>
      </c>
      <c r="O158" s="457" t="str">
        <f>IF(ISBLANK(tab_invoices[[#This Row],['#]]),"",VLOOKUP(tab_invoices[[#This Row],['#]],tab_budget[['#]:[Rozpočtová položka]],8,FALSE))</f>
        <v/>
      </c>
      <c r="P158" s="457" t="str">
        <f>IF(ISBLANK(tab_invoices[[#This Row],['#]]),"",VLOOKUP(tab_invoices[[#This Row],['#]],tab_budget[['#]:[Rozpočtová kapitola]],9,FALSE))</f>
        <v/>
      </c>
      <c r="Q158" s="457" t="str">
        <f>IF(ISBLANK(tab_invoices[[#This Row],['#]]),"",VLOOKUP(tab_invoices[[#This Row],['#]],tab_budget[['#]:[Realizuje]],10,FALSE))</f>
        <v/>
      </c>
      <c r="R158" s="457"/>
      <c r="S158" s="457"/>
    </row>
    <row r="159" spans="1:19" s="307" customFormat="1" ht="10.199999999999999" x14ac:dyDescent="0.2">
      <c r="A159" s="451">
        <f t="shared" si="4"/>
        <v>150</v>
      </c>
      <c r="B159" s="452"/>
      <c r="C159" s="453"/>
      <c r="D159" s="454"/>
      <c r="E159" s="454"/>
      <c r="F159" s="452"/>
      <c r="G159" s="455"/>
      <c r="H159" s="455"/>
      <c r="I159" s="452"/>
      <c r="J159" s="452"/>
      <c r="K159" s="291">
        <f>tab_invoices[[#This Row],[Množstvo]]*tab_invoices[[#This Row],[Náklady na jednotku]]</f>
        <v>0</v>
      </c>
      <c r="L159" s="454"/>
      <c r="M159" s="292" t="str">
        <f>IF(ISBLANK(tab_invoices[[#This Row],['#]]),"",VLOOKUP(tab_invoices[[#This Row],['#]],tab_budget[['#]:[Rozpočtová položka]],2,FALSE))</f>
        <v/>
      </c>
      <c r="N159" s="457" t="str">
        <f>IF(ISBLANK(tab_invoices[[#This Row],['#]]),"",VLOOKUP(tab_invoices[[#This Row],['#]],tab_budget[['#]:[Typ výdavku]],7,FALSE))</f>
        <v/>
      </c>
      <c r="O159" s="457" t="str">
        <f>IF(ISBLANK(tab_invoices[[#This Row],['#]]),"",VLOOKUP(tab_invoices[[#This Row],['#]],tab_budget[['#]:[Rozpočtová položka]],8,FALSE))</f>
        <v/>
      </c>
      <c r="P159" s="457" t="str">
        <f>IF(ISBLANK(tab_invoices[[#This Row],['#]]),"",VLOOKUP(tab_invoices[[#This Row],['#]],tab_budget[['#]:[Rozpočtová kapitola]],9,FALSE))</f>
        <v/>
      </c>
      <c r="Q159" s="457" t="str">
        <f>IF(ISBLANK(tab_invoices[[#This Row],['#]]),"",VLOOKUP(tab_invoices[[#This Row],['#]],tab_budget[['#]:[Realizuje]],10,FALSE))</f>
        <v/>
      </c>
      <c r="R159" s="457"/>
      <c r="S159" s="457"/>
    </row>
    <row r="160" spans="1:19" s="307" customFormat="1" ht="10.199999999999999" x14ac:dyDescent="0.2">
      <c r="A160" s="451">
        <f t="shared" si="4"/>
        <v>151</v>
      </c>
      <c r="B160" s="452"/>
      <c r="C160" s="453"/>
      <c r="D160" s="454"/>
      <c r="E160" s="454"/>
      <c r="F160" s="452"/>
      <c r="G160" s="455"/>
      <c r="H160" s="455"/>
      <c r="I160" s="452"/>
      <c r="J160" s="452"/>
      <c r="K160" s="291">
        <f>tab_invoices[[#This Row],[Množstvo]]*tab_invoices[[#This Row],[Náklady na jednotku]]</f>
        <v>0</v>
      </c>
      <c r="L160" s="454"/>
      <c r="M160" s="292" t="str">
        <f>IF(ISBLANK(tab_invoices[[#This Row],['#]]),"",VLOOKUP(tab_invoices[[#This Row],['#]],tab_budget[['#]:[Rozpočtová položka]],2,FALSE))</f>
        <v/>
      </c>
      <c r="N160" s="457" t="str">
        <f>IF(ISBLANK(tab_invoices[[#This Row],['#]]),"",VLOOKUP(tab_invoices[[#This Row],['#]],tab_budget[['#]:[Typ výdavku]],7,FALSE))</f>
        <v/>
      </c>
      <c r="O160" s="457" t="str">
        <f>IF(ISBLANK(tab_invoices[[#This Row],['#]]),"",VLOOKUP(tab_invoices[[#This Row],['#]],tab_budget[['#]:[Rozpočtová položka]],8,FALSE))</f>
        <v/>
      </c>
      <c r="P160" s="457" t="str">
        <f>IF(ISBLANK(tab_invoices[[#This Row],['#]]),"",VLOOKUP(tab_invoices[[#This Row],['#]],tab_budget[['#]:[Rozpočtová kapitola]],9,FALSE))</f>
        <v/>
      </c>
      <c r="Q160" s="457" t="str">
        <f>IF(ISBLANK(tab_invoices[[#This Row],['#]]),"",VLOOKUP(tab_invoices[[#This Row],['#]],tab_budget[['#]:[Realizuje]],10,FALSE))</f>
        <v/>
      </c>
      <c r="R160" s="457"/>
      <c r="S160" s="457"/>
    </row>
    <row r="161" spans="1:19" s="307" customFormat="1" ht="10.199999999999999" x14ac:dyDescent="0.2">
      <c r="A161" s="451">
        <f t="shared" ref="A161:A192" si="5">ROW(B161)-9</f>
        <v>152</v>
      </c>
      <c r="B161" s="452"/>
      <c r="C161" s="453"/>
      <c r="D161" s="454"/>
      <c r="E161" s="454"/>
      <c r="F161" s="452"/>
      <c r="G161" s="455"/>
      <c r="H161" s="455"/>
      <c r="I161" s="452"/>
      <c r="J161" s="452"/>
      <c r="K161" s="291">
        <f>tab_invoices[[#This Row],[Množstvo]]*tab_invoices[[#This Row],[Náklady na jednotku]]</f>
        <v>0</v>
      </c>
      <c r="L161" s="454"/>
      <c r="M161" s="292" t="str">
        <f>IF(ISBLANK(tab_invoices[[#This Row],['#]]),"",VLOOKUP(tab_invoices[[#This Row],['#]],tab_budget[['#]:[Rozpočtová položka]],2,FALSE))</f>
        <v/>
      </c>
      <c r="N161" s="457" t="str">
        <f>IF(ISBLANK(tab_invoices[[#This Row],['#]]),"",VLOOKUP(tab_invoices[[#This Row],['#]],tab_budget[['#]:[Typ výdavku]],7,FALSE))</f>
        <v/>
      </c>
      <c r="O161" s="457" t="str">
        <f>IF(ISBLANK(tab_invoices[[#This Row],['#]]),"",VLOOKUP(tab_invoices[[#This Row],['#]],tab_budget[['#]:[Rozpočtová položka]],8,FALSE))</f>
        <v/>
      </c>
      <c r="P161" s="457" t="str">
        <f>IF(ISBLANK(tab_invoices[[#This Row],['#]]),"",VLOOKUP(tab_invoices[[#This Row],['#]],tab_budget[['#]:[Rozpočtová kapitola]],9,FALSE))</f>
        <v/>
      </c>
      <c r="Q161" s="457" t="str">
        <f>IF(ISBLANK(tab_invoices[[#This Row],['#]]),"",VLOOKUP(tab_invoices[[#This Row],['#]],tab_budget[['#]:[Realizuje]],10,FALSE))</f>
        <v/>
      </c>
      <c r="R161" s="457"/>
      <c r="S161" s="457"/>
    </row>
    <row r="162" spans="1:19" s="307" customFormat="1" ht="10.199999999999999" x14ac:dyDescent="0.2">
      <c r="A162" s="451">
        <f t="shared" si="5"/>
        <v>153</v>
      </c>
      <c r="B162" s="452"/>
      <c r="C162" s="453"/>
      <c r="D162" s="454"/>
      <c r="E162" s="454"/>
      <c r="F162" s="452"/>
      <c r="G162" s="455"/>
      <c r="H162" s="455"/>
      <c r="I162" s="452"/>
      <c r="J162" s="452"/>
      <c r="K162" s="291">
        <f>tab_invoices[[#This Row],[Množstvo]]*tab_invoices[[#This Row],[Náklady na jednotku]]</f>
        <v>0</v>
      </c>
      <c r="L162" s="454"/>
      <c r="M162" s="292" t="str">
        <f>IF(ISBLANK(tab_invoices[[#This Row],['#]]),"",VLOOKUP(tab_invoices[[#This Row],['#]],tab_budget[['#]:[Rozpočtová položka]],2,FALSE))</f>
        <v/>
      </c>
      <c r="N162" s="457" t="str">
        <f>IF(ISBLANK(tab_invoices[[#This Row],['#]]),"",VLOOKUP(tab_invoices[[#This Row],['#]],tab_budget[['#]:[Typ výdavku]],7,FALSE))</f>
        <v/>
      </c>
      <c r="O162" s="457" t="str">
        <f>IF(ISBLANK(tab_invoices[[#This Row],['#]]),"",VLOOKUP(tab_invoices[[#This Row],['#]],tab_budget[['#]:[Rozpočtová položka]],8,FALSE))</f>
        <v/>
      </c>
      <c r="P162" s="457" t="str">
        <f>IF(ISBLANK(tab_invoices[[#This Row],['#]]),"",VLOOKUP(tab_invoices[[#This Row],['#]],tab_budget[['#]:[Rozpočtová kapitola]],9,FALSE))</f>
        <v/>
      </c>
      <c r="Q162" s="457" t="str">
        <f>IF(ISBLANK(tab_invoices[[#This Row],['#]]),"",VLOOKUP(tab_invoices[[#This Row],['#]],tab_budget[['#]:[Realizuje]],10,FALSE))</f>
        <v/>
      </c>
      <c r="R162" s="457"/>
      <c r="S162" s="457"/>
    </row>
    <row r="163" spans="1:19" s="307" customFormat="1" ht="10.199999999999999" x14ac:dyDescent="0.2">
      <c r="A163" s="451">
        <f t="shared" si="5"/>
        <v>154</v>
      </c>
      <c r="B163" s="452"/>
      <c r="C163" s="453"/>
      <c r="D163" s="454"/>
      <c r="E163" s="454"/>
      <c r="F163" s="452"/>
      <c r="G163" s="455"/>
      <c r="H163" s="455"/>
      <c r="I163" s="452"/>
      <c r="J163" s="452"/>
      <c r="K163" s="291">
        <f>tab_invoices[[#This Row],[Množstvo]]*tab_invoices[[#This Row],[Náklady na jednotku]]</f>
        <v>0</v>
      </c>
      <c r="L163" s="454"/>
      <c r="M163" s="292" t="str">
        <f>IF(ISBLANK(tab_invoices[[#This Row],['#]]),"",VLOOKUP(tab_invoices[[#This Row],['#]],tab_budget[['#]:[Rozpočtová položka]],2,FALSE))</f>
        <v/>
      </c>
      <c r="N163" s="457" t="str">
        <f>IF(ISBLANK(tab_invoices[[#This Row],['#]]),"",VLOOKUP(tab_invoices[[#This Row],['#]],tab_budget[['#]:[Typ výdavku]],7,FALSE))</f>
        <v/>
      </c>
      <c r="O163" s="457" t="str">
        <f>IF(ISBLANK(tab_invoices[[#This Row],['#]]),"",VLOOKUP(tab_invoices[[#This Row],['#]],tab_budget[['#]:[Rozpočtová položka]],8,FALSE))</f>
        <v/>
      </c>
      <c r="P163" s="457" t="str">
        <f>IF(ISBLANK(tab_invoices[[#This Row],['#]]),"",VLOOKUP(tab_invoices[[#This Row],['#]],tab_budget[['#]:[Rozpočtová kapitola]],9,FALSE))</f>
        <v/>
      </c>
      <c r="Q163" s="457" t="str">
        <f>IF(ISBLANK(tab_invoices[[#This Row],['#]]),"",VLOOKUP(tab_invoices[[#This Row],['#]],tab_budget[['#]:[Realizuje]],10,FALSE))</f>
        <v/>
      </c>
      <c r="R163" s="457"/>
      <c r="S163" s="457"/>
    </row>
    <row r="164" spans="1:19" s="307" customFormat="1" ht="10.199999999999999" x14ac:dyDescent="0.2">
      <c r="A164" s="451">
        <f t="shared" si="5"/>
        <v>155</v>
      </c>
      <c r="B164" s="452"/>
      <c r="C164" s="453"/>
      <c r="D164" s="454"/>
      <c r="E164" s="454"/>
      <c r="F164" s="452"/>
      <c r="G164" s="455"/>
      <c r="H164" s="455"/>
      <c r="I164" s="452"/>
      <c r="J164" s="452"/>
      <c r="K164" s="291">
        <f>tab_invoices[[#This Row],[Množstvo]]*tab_invoices[[#This Row],[Náklady na jednotku]]</f>
        <v>0</v>
      </c>
      <c r="L164" s="454"/>
      <c r="M164" s="292" t="str">
        <f>IF(ISBLANK(tab_invoices[[#This Row],['#]]),"",VLOOKUP(tab_invoices[[#This Row],['#]],tab_budget[['#]:[Rozpočtová položka]],2,FALSE))</f>
        <v/>
      </c>
      <c r="N164" s="457" t="str">
        <f>IF(ISBLANK(tab_invoices[[#This Row],['#]]),"",VLOOKUP(tab_invoices[[#This Row],['#]],tab_budget[['#]:[Typ výdavku]],7,FALSE))</f>
        <v/>
      </c>
      <c r="O164" s="457" t="str">
        <f>IF(ISBLANK(tab_invoices[[#This Row],['#]]),"",VLOOKUP(tab_invoices[[#This Row],['#]],tab_budget[['#]:[Rozpočtová položka]],8,FALSE))</f>
        <v/>
      </c>
      <c r="P164" s="457" t="str">
        <f>IF(ISBLANK(tab_invoices[[#This Row],['#]]),"",VLOOKUP(tab_invoices[[#This Row],['#]],tab_budget[['#]:[Rozpočtová kapitola]],9,FALSE))</f>
        <v/>
      </c>
      <c r="Q164" s="457" t="str">
        <f>IF(ISBLANK(tab_invoices[[#This Row],['#]]),"",VLOOKUP(tab_invoices[[#This Row],['#]],tab_budget[['#]:[Realizuje]],10,FALSE))</f>
        <v/>
      </c>
      <c r="R164" s="457"/>
      <c r="S164" s="457"/>
    </row>
    <row r="165" spans="1:19" s="307" customFormat="1" ht="10.199999999999999" x14ac:dyDescent="0.2">
      <c r="A165" s="451">
        <f t="shared" si="5"/>
        <v>156</v>
      </c>
      <c r="B165" s="452"/>
      <c r="C165" s="453"/>
      <c r="D165" s="454"/>
      <c r="E165" s="454"/>
      <c r="F165" s="452"/>
      <c r="G165" s="455"/>
      <c r="H165" s="455"/>
      <c r="I165" s="452"/>
      <c r="J165" s="452"/>
      <c r="K165" s="291">
        <f>tab_invoices[[#This Row],[Množstvo]]*tab_invoices[[#This Row],[Náklady na jednotku]]</f>
        <v>0</v>
      </c>
      <c r="L165" s="454"/>
      <c r="M165" s="292" t="str">
        <f>IF(ISBLANK(tab_invoices[[#This Row],['#]]),"",VLOOKUP(tab_invoices[[#This Row],['#]],tab_budget[['#]:[Rozpočtová položka]],2,FALSE))</f>
        <v/>
      </c>
      <c r="N165" s="457" t="str">
        <f>IF(ISBLANK(tab_invoices[[#This Row],['#]]),"",VLOOKUP(tab_invoices[[#This Row],['#]],tab_budget[['#]:[Typ výdavku]],7,FALSE))</f>
        <v/>
      </c>
      <c r="O165" s="457" t="str">
        <f>IF(ISBLANK(tab_invoices[[#This Row],['#]]),"",VLOOKUP(tab_invoices[[#This Row],['#]],tab_budget[['#]:[Rozpočtová položka]],8,FALSE))</f>
        <v/>
      </c>
      <c r="P165" s="457" t="str">
        <f>IF(ISBLANK(tab_invoices[[#This Row],['#]]),"",VLOOKUP(tab_invoices[[#This Row],['#]],tab_budget[['#]:[Rozpočtová kapitola]],9,FALSE))</f>
        <v/>
      </c>
      <c r="Q165" s="457" t="str">
        <f>IF(ISBLANK(tab_invoices[[#This Row],['#]]),"",VLOOKUP(tab_invoices[[#This Row],['#]],tab_budget[['#]:[Realizuje]],10,FALSE))</f>
        <v/>
      </c>
      <c r="R165" s="457"/>
      <c r="S165" s="457"/>
    </row>
    <row r="166" spans="1:19" s="307" customFormat="1" ht="10.199999999999999" x14ac:dyDescent="0.2">
      <c r="A166" s="451">
        <f t="shared" si="5"/>
        <v>157</v>
      </c>
      <c r="B166" s="452"/>
      <c r="C166" s="453"/>
      <c r="D166" s="454"/>
      <c r="E166" s="454"/>
      <c r="F166" s="452"/>
      <c r="G166" s="455"/>
      <c r="H166" s="455"/>
      <c r="I166" s="452"/>
      <c r="J166" s="452"/>
      <c r="K166" s="291">
        <f>tab_invoices[[#This Row],[Množstvo]]*tab_invoices[[#This Row],[Náklady na jednotku]]</f>
        <v>0</v>
      </c>
      <c r="L166" s="454"/>
      <c r="M166" s="292" t="str">
        <f>IF(ISBLANK(tab_invoices[[#This Row],['#]]),"",VLOOKUP(tab_invoices[[#This Row],['#]],tab_budget[['#]:[Rozpočtová položka]],2,FALSE))</f>
        <v/>
      </c>
      <c r="N166" s="457" t="str">
        <f>IF(ISBLANK(tab_invoices[[#This Row],['#]]),"",VLOOKUP(tab_invoices[[#This Row],['#]],tab_budget[['#]:[Typ výdavku]],7,FALSE))</f>
        <v/>
      </c>
      <c r="O166" s="457" t="str">
        <f>IF(ISBLANK(tab_invoices[[#This Row],['#]]),"",VLOOKUP(tab_invoices[[#This Row],['#]],tab_budget[['#]:[Rozpočtová položka]],8,FALSE))</f>
        <v/>
      </c>
      <c r="P166" s="457" t="str">
        <f>IF(ISBLANK(tab_invoices[[#This Row],['#]]),"",VLOOKUP(tab_invoices[[#This Row],['#]],tab_budget[['#]:[Rozpočtová kapitola]],9,FALSE))</f>
        <v/>
      </c>
      <c r="Q166" s="457" t="str">
        <f>IF(ISBLANK(tab_invoices[[#This Row],['#]]),"",VLOOKUP(tab_invoices[[#This Row],['#]],tab_budget[['#]:[Realizuje]],10,FALSE))</f>
        <v/>
      </c>
      <c r="R166" s="457"/>
      <c r="S166" s="457"/>
    </row>
    <row r="167" spans="1:19" s="307" customFormat="1" ht="10.199999999999999" x14ac:dyDescent="0.2">
      <c r="A167" s="451">
        <f t="shared" si="5"/>
        <v>158</v>
      </c>
      <c r="B167" s="452"/>
      <c r="C167" s="453"/>
      <c r="D167" s="454"/>
      <c r="E167" s="454"/>
      <c r="F167" s="452"/>
      <c r="G167" s="455"/>
      <c r="H167" s="455"/>
      <c r="I167" s="452"/>
      <c r="J167" s="452"/>
      <c r="K167" s="291">
        <f>tab_invoices[[#This Row],[Množstvo]]*tab_invoices[[#This Row],[Náklady na jednotku]]</f>
        <v>0</v>
      </c>
      <c r="L167" s="454"/>
      <c r="M167" s="292" t="str">
        <f>IF(ISBLANK(tab_invoices[[#This Row],['#]]),"",VLOOKUP(tab_invoices[[#This Row],['#]],tab_budget[['#]:[Rozpočtová položka]],2,FALSE))</f>
        <v/>
      </c>
      <c r="N167" s="457" t="str">
        <f>IF(ISBLANK(tab_invoices[[#This Row],['#]]),"",VLOOKUP(tab_invoices[[#This Row],['#]],tab_budget[['#]:[Typ výdavku]],7,FALSE))</f>
        <v/>
      </c>
      <c r="O167" s="457" t="str">
        <f>IF(ISBLANK(tab_invoices[[#This Row],['#]]),"",VLOOKUP(tab_invoices[[#This Row],['#]],tab_budget[['#]:[Rozpočtová položka]],8,FALSE))</f>
        <v/>
      </c>
      <c r="P167" s="457" t="str">
        <f>IF(ISBLANK(tab_invoices[[#This Row],['#]]),"",VLOOKUP(tab_invoices[[#This Row],['#]],tab_budget[['#]:[Rozpočtová kapitola]],9,FALSE))</f>
        <v/>
      </c>
      <c r="Q167" s="457" t="str">
        <f>IF(ISBLANK(tab_invoices[[#This Row],['#]]),"",VLOOKUP(tab_invoices[[#This Row],['#]],tab_budget[['#]:[Realizuje]],10,FALSE))</f>
        <v/>
      </c>
      <c r="R167" s="457"/>
      <c r="S167" s="457"/>
    </row>
    <row r="168" spans="1:19" s="307" customFormat="1" ht="10.199999999999999" x14ac:dyDescent="0.2">
      <c r="A168" s="451">
        <f t="shared" si="5"/>
        <v>159</v>
      </c>
      <c r="B168" s="452"/>
      <c r="C168" s="453"/>
      <c r="D168" s="454"/>
      <c r="E168" s="454"/>
      <c r="F168" s="452"/>
      <c r="G168" s="455"/>
      <c r="H168" s="455"/>
      <c r="I168" s="452"/>
      <c r="J168" s="452"/>
      <c r="K168" s="291">
        <f>tab_invoices[[#This Row],[Množstvo]]*tab_invoices[[#This Row],[Náklady na jednotku]]</f>
        <v>0</v>
      </c>
      <c r="L168" s="454"/>
      <c r="M168" s="292" t="str">
        <f>IF(ISBLANK(tab_invoices[[#This Row],['#]]),"",VLOOKUP(tab_invoices[[#This Row],['#]],tab_budget[['#]:[Rozpočtová položka]],2,FALSE))</f>
        <v/>
      </c>
      <c r="N168" s="457" t="str">
        <f>IF(ISBLANK(tab_invoices[[#This Row],['#]]),"",VLOOKUP(tab_invoices[[#This Row],['#]],tab_budget[['#]:[Typ výdavku]],7,FALSE))</f>
        <v/>
      </c>
      <c r="O168" s="457" t="str">
        <f>IF(ISBLANK(tab_invoices[[#This Row],['#]]),"",VLOOKUP(tab_invoices[[#This Row],['#]],tab_budget[['#]:[Rozpočtová položka]],8,FALSE))</f>
        <v/>
      </c>
      <c r="P168" s="457" t="str">
        <f>IF(ISBLANK(tab_invoices[[#This Row],['#]]),"",VLOOKUP(tab_invoices[[#This Row],['#]],tab_budget[['#]:[Rozpočtová kapitola]],9,FALSE))</f>
        <v/>
      </c>
      <c r="Q168" s="457" t="str">
        <f>IF(ISBLANK(tab_invoices[[#This Row],['#]]),"",VLOOKUP(tab_invoices[[#This Row],['#]],tab_budget[['#]:[Realizuje]],10,FALSE))</f>
        <v/>
      </c>
      <c r="R168" s="457"/>
      <c r="S168" s="457"/>
    </row>
    <row r="169" spans="1:19" s="307" customFormat="1" ht="10.199999999999999" x14ac:dyDescent="0.2">
      <c r="A169" s="451">
        <f t="shared" si="5"/>
        <v>160</v>
      </c>
      <c r="B169" s="452"/>
      <c r="C169" s="453"/>
      <c r="D169" s="454"/>
      <c r="E169" s="454"/>
      <c r="F169" s="452"/>
      <c r="G169" s="455"/>
      <c r="H169" s="455"/>
      <c r="I169" s="452"/>
      <c r="J169" s="452"/>
      <c r="K169" s="291">
        <f>tab_invoices[[#This Row],[Množstvo]]*tab_invoices[[#This Row],[Náklady na jednotku]]</f>
        <v>0</v>
      </c>
      <c r="L169" s="454"/>
      <c r="M169" s="292" t="str">
        <f>IF(ISBLANK(tab_invoices[[#This Row],['#]]),"",VLOOKUP(tab_invoices[[#This Row],['#]],tab_budget[['#]:[Rozpočtová položka]],2,FALSE))</f>
        <v/>
      </c>
      <c r="N169" s="457" t="str">
        <f>IF(ISBLANK(tab_invoices[[#This Row],['#]]),"",VLOOKUP(tab_invoices[[#This Row],['#]],tab_budget[['#]:[Typ výdavku]],7,FALSE))</f>
        <v/>
      </c>
      <c r="O169" s="457" t="str">
        <f>IF(ISBLANK(tab_invoices[[#This Row],['#]]),"",VLOOKUP(tab_invoices[[#This Row],['#]],tab_budget[['#]:[Rozpočtová položka]],8,FALSE))</f>
        <v/>
      </c>
      <c r="P169" s="457" t="str">
        <f>IF(ISBLANK(tab_invoices[[#This Row],['#]]),"",VLOOKUP(tab_invoices[[#This Row],['#]],tab_budget[['#]:[Rozpočtová kapitola]],9,FALSE))</f>
        <v/>
      </c>
      <c r="Q169" s="457" t="str">
        <f>IF(ISBLANK(tab_invoices[[#This Row],['#]]),"",VLOOKUP(tab_invoices[[#This Row],['#]],tab_budget[['#]:[Realizuje]],10,FALSE))</f>
        <v/>
      </c>
      <c r="R169" s="457"/>
      <c r="S169" s="457"/>
    </row>
    <row r="170" spans="1:19" s="307" customFormat="1" ht="10.199999999999999" x14ac:dyDescent="0.2">
      <c r="A170" s="451">
        <f t="shared" si="5"/>
        <v>161</v>
      </c>
      <c r="B170" s="452"/>
      <c r="C170" s="453"/>
      <c r="D170" s="454"/>
      <c r="E170" s="454"/>
      <c r="F170" s="452"/>
      <c r="G170" s="455"/>
      <c r="H170" s="455"/>
      <c r="I170" s="452"/>
      <c r="J170" s="452"/>
      <c r="K170" s="291">
        <f>tab_invoices[[#This Row],[Množstvo]]*tab_invoices[[#This Row],[Náklady na jednotku]]</f>
        <v>0</v>
      </c>
      <c r="L170" s="454"/>
      <c r="M170" s="292" t="str">
        <f>IF(ISBLANK(tab_invoices[[#This Row],['#]]),"",VLOOKUP(tab_invoices[[#This Row],['#]],tab_budget[['#]:[Rozpočtová položka]],2,FALSE))</f>
        <v/>
      </c>
      <c r="N170" s="457" t="str">
        <f>IF(ISBLANK(tab_invoices[[#This Row],['#]]),"",VLOOKUP(tab_invoices[[#This Row],['#]],tab_budget[['#]:[Typ výdavku]],7,FALSE))</f>
        <v/>
      </c>
      <c r="O170" s="457" t="str">
        <f>IF(ISBLANK(tab_invoices[[#This Row],['#]]),"",VLOOKUP(tab_invoices[[#This Row],['#]],tab_budget[['#]:[Rozpočtová položka]],8,FALSE))</f>
        <v/>
      </c>
      <c r="P170" s="457" t="str">
        <f>IF(ISBLANK(tab_invoices[[#This Row],['#]]),"",VLOOKUP(tab_invoices[[#This Row],['#]],tab_budget[['#]:[Rozpočtová kapitola]],9,FALSE))</f>
        <v/>
      </c>
      <c r="Q170" s="457" t="str">
        <f>IF(ISBLANK(tab_invoices[[#This Row],['#]]),"",VLOOKUP(tab_invoices[[#This Row],['#]],tab_budget[['#]:[Realizuje]],10,FALSE))</f>
        <v/>
      </c>
      <c r="R170" s="457"/>
      <c r="S170" s="457"/>
    </row>
    <row r="171" spans="1:19" s="307" customFormat="1" ht="10.199999999999999" x14ac:dyDescent="0.2">
      <c r="A171" s="451">
        <f t="shared" si="5"/>
        <v>162</v>
      </c>
      <c r="B171" s="452"/>
      <c r="C171" s="453"/>
      <c r="D171" s="454"/>
      <c r="E171" s="454"/>
      <c r="F171" s="452"/>
      <c r="G171" s="455"/>
      <c r="H171" s="455"/>
      <c r="I171" s="452"/>
      <c r="J171" s="452"/>
      <c r="K171" s="291">
        <f>tab_invoices[[#This Row],[Množstvo]]*tab_invoices[[#This Row],[Náklady na jednotku]]</f>
        <v>0</v>
      </c>
      <c r="L171" s="454"/>
      <c r="M171" s="292" t="str">
        <f>IF(ISBLANK(tab_invoices[[#This Row],['#]]),"",VLOOKUP(tab_invoices[[#This Row],['#]],tab_budget[['#]:[Rozpočtová položka]],2,FALSE))</f>
        <v/>
      </c>
      <c r="N171" s="457" t="str">
        <f>IF(ISBLANK(tab_invoices[[#This Row],['#]]),"",VLOOKUP(tab_invoices[[#This Row],['#]],tab_budget[['#]:[Typ výdavku]],7,FALSE))</f>
        <v/>
      </c>
      <c r="O171" s="457" t="str">
        <f>IF(ISBLANK(tab_invoices[[#This Row],['#]]),"",VLOOKUP(tab_invoices[[#This Row],['#]],tab_budget[['#]:[Rozpočtová položka]],8,FALSE))</f>
        <v/>
      </c>
      <c r="P171" s="457" t="str">
        <f>IF(ISBLANK(tab_invoices[[#This Row],['#]]),"",VLOOKUP(tab_invoices[[#This Row],['#]],tab_budget[['#]:[Rozpočtová kapitola]],9,FALSE))</f>
        <v/>
      </c>
      <c r="Q171" s="457" t="str">
        <f>IF(ISBLANK(tab_invoices[[#This Row],['#]]),"",VLOOKUP(tab_invoices[[#This Row],['#]],tab_budget[['#]:[Realizuje]],10,FALSE))</f>
        <v/>
      </c>
      <c r="R171" s="457"/>
      <c r="S171" s="457"/>
    </row>
    <row r="172" spans="1:19" s="307" customFormat="1" ht="10.199999999999999" x14ac:dyDescent="0.2">
      <c r="A172" s="451">
        <f t="shared" si="5"/>
        <v>163</v>
      </c>
      <c r="B172" s="452"/>
      <c r="C172" s="453"/>
      <c r="D172" s="454"/>
      <c r="E172" s="454"/>
      <c r="F172" s="452"/>
      <c r="G172" s="455"/>
      <c r="H172" s="455"/>
      <c r="I172" s="452"/>
      <c r="J172" s="452"/>
      <c r="K172" s="291">
        <f>tab_invoices[[#This Row],[Množstvo]]*tab_invoices[[#This Row],[Náklady na jednotku]]</f>
        <v>0</v>
      </c>
      <c r="L172" s="454"/>
      <c r="M172" s="292" t="str">
        <f>IF(ISBLANK(tab_invoices[[#This Row],['#]]),"",VLOOKUP(tab_invoices[[#This Row],['#]],tab_budget[['#]:[Rozpočtová položka]],2,FALSE))</f>
        <v/>
      </c>
      <c r="N172" s="457" t="str">
        <f>IF(ISBLANK(tab_invoices[[#This Row],['#]]),"",VLOOKUP(tab_invoices[[#This Row],['#]],tab_budget[['#]:[Typ výdavku]],7,FALSE))</f>
        <v/>
      </c>
      <c r="O172" s="457" t="str">
        <f>IF(ISBLANK(tab_invoices[[#This Row],['#]]),"",VLOOKUP(tab_invoices[[#This Row],['#]],tab_budget[['#]:[Rozpočtová položka]],8,FALSE))</f>
        <v/>
      </c>
      <c r="P172" s="457" t="str">
        <f>IF(ISBLANK(tab_invoices[[#This Row],['#]]),"",VLOOKUP(tab_invoices[[#This Row],['#]],tab_budget[['#]:[Rozpočtová kapitola]],9,FALSE))</f>
        <v/>
      </c>
      <c r="Q172" s="457" t="str">
        <f>IF(ISBLANK(tab_invoices[[#This Row],['#]]),"",VLOOKUP(tab_invoices[[#This Row],['#]],tab_budget[['#]:[Realizuje]],10,FALSE))</f>
        <v/>
      </c>
      <c r="R172" s="457"/>
      <c r="S172" s="457"/>
    </row>
    <row r="173" spans="1:19" s="307" customFormat="1" ht="10.199999999999999" x14ac:dyDescent="0.2">
      <c r="A173" s="451">
        <f t="shared" si="5"/>
        <v>164</v>
      </c>
      <c r="B173" s="452"/>
      <c r="C173" s="453"/>
      <c r="D173" s="454"/>
      <c r="E173" s="454"/>
      <c r="F173" s="452"/>
      <c r="G173" s="455"/>
      <c r="H173" s="455"/>
      <c r="I173" s="452"/>
      <c r="J173" s="452"/>
      <c r="K173" s="291">
        <f>tab_invoices[[#This Row],[Množstvo]]*tab_invoices[[#This Row],[Náklady na jednotku]]</f>
        <v>0</v>
      </c>
      <c r="L173" s="454"/>
      <c r="M173" s="292" t="str">
        <f>IF(ISBLANK(tab_invoices[[#This Row],['#]]),"",VLOOKUP(tab_invoices[[#This Row],['#]],tab_budget[['#]:[Rozpočtová položka]],2,FALSE))</f>
        <v/>
      </c>
      <c r="N173" s="457" t="str">
        <f>IF(ISBLANK(tab_invoices[[#This Row],['#]]),"",VLOOKUP(tab_invoices[[#This Row],['#]],tab_budget[['#]:[Typ výdavku]],7,FALSE))</f>
        <v/>
      </c>
      <c r="O173" s="457" t="str">
        <f>IF(ISBLANK(tab_invoices[[#This Row],['#]]),"",VLOOKUP(tab_invoices[[#This Row],['#]],tab_budget[['#]:[Rozpočtová položka]],8,FALSE))</f>
        <v/>
      </c>
      <c r="P173" s="457" t="str">
        <f>IF(ISBLANK(tab_invoices[[#This Row],['#]]),"",VLOOKUP(tab_invoices[[#This Row],['#]],tab_budget[['#]:[Rozpočtová kapitola]],9,FALSE))</f>
        <v/>
      </c>
      <c r="Q173" s="457" t="str">
        <f>IF(ISBLANK(tab_invoices[[#This Row],['#]]),"",VLOOKUP(tab_invoices[[#This Row],['#]],tab_budget[['#]:[Realizuje]],10,FALSE))</f>
        <v/>
      </c>
      <c r="R173" s="457"/>
      <c r="S173" s="457"/>
    </row>
    <row r="174" spans="1:19" s="307" customFormat="1" ht="10.199999999999999" x14ac:dyDescent="0.2">
      <c r="A174" s="451">
        <f t="shared" si="5"/>
        <v>165</v>
      </c>
      <c r="B174" s="452"/>
      <c r="C174" s="453"/>
      <c r="D174" s="454"/>
      <c r="E174" s="454"/>
      <c r="F174" s="452"/>
      <c r="G174" s="455"/>
      <c r="H174" s="455"/>
      <c r="I174" s="452"/>
      <c r="J174" s="452"/>
      <c r="K174" s="291">
        <f>tab_invoices[[#This Row],[Množstvo]]*tab_invoices[[#This Row],[Náklady na jednotku]]</f>
        <v>0</v>
      </c>
      <c r="L174" s="454"/>
      <c r="M174" s="292" t="str">
        <f>IF(ISBLANK(tab_invoices[[#This Row],['#]]),"",VLOOKUP(tab_invoices[[#This Row],['#]],tab_budget[['#]:[Rozpočtová položka]],2,FALSE))</f>
        <v/>
      </c>
      <c r="N174" s="457" t="str">
        <f>IF(ISBLANK(tab_invoices[[#This Row],['#]]),"",VLOOKUP(tab_invoices[[#This Row],['#]],tab_budget[['#]:[Typ výdavku]],7,FALSE))</f>
        <v/>
      </c>
      <c r="O174" s="457" t="str">
        <f>IF(ISBLANK(tab_invoices[[#This Row],['#]]),"",VLOOKUP(tab_invoices[[#This Row],['#]],tab_budget[['#]:[Rozpočtová položka]],8,FALSE))</f>
        <v/>
      </c>
      <c r="P174" s="457" t="str">
        <f>IF(ISBLANK(tab_invoices[[#This Row],['#]]),"",VLOOKUP(tab_invoices[[#This Row],['#]],tab_budget[['#]:[Rozpočtová kapitola]],9,FALSE))</f>
        <v/>
      </c>
      <c r="Q174" s="457" t="str">
        <f>IF(ISBLANK(tab_invoices[[#This Row],['#]]),"",VLOOKUP(tab_invoices[[#This Row],['#]],tab_budget[['#]:[Realizuje]],10,FALSE))</f>
        <v/>
      </c>
      <c r="R174" s="457"/>
      <c r="S174" s="457"/>
    </row>
    <row r="175" spans="1:19" s="307" customFormat="1" ht="10.199999999999999" x14ac:dyDescent="0.2">
      <c r="A175" s="451">
        <f t="shared" si="5"/>
        <v>166</v>
      </c>
      <c r="B175" s="452"/>
      <c r="C175" s="453"/>
      <c r="D175" s="454"/>
      <c r="E175" s="454"/>
      <c r="F175" s="452"/>
      <c r="G175" s="455"/>
      <c r="H175" s="455"/>
      <c r="I175" s="452"/>
      <c r="J175" s="452"/>
      <c r="K175" s="291">
        <f>tab_invoices[[#This Row],[Množstvo]]*tab_invoices[[#This Row],[Náklady na jednotku]]</f>
        <v>0</v>
      </c>
      <c r="L175" s="454"/>
      <c r="M175" s="292" t="str">
        <f>IF(ISBLANK(tab_invoices[[#This Row],['#]]),"",VLOOKUP(tab_invoices[[#This Row],['#]],tab_budget[['#]:[Rozpočtová položka]],2,FALSE))</f>
        <v/>
      </c>
      <c r="N175" s="457" t="str">
        <f>IF(ISBLANK(tab_invoices[[#This Row],['#]]),"",VLOOKUP(tab_invoices[[#This Row],['#]],tab_budget[['#]:[Typ výdavku]],7,FALSE))</f>
        <v/>
      </c>
      <c r="O175" s="457" t="str">
        <f>IF(ISBLANK(tab_invoices[[#This Row],['#]]),"",VLOOKUP(tab_invoices[[#This Row],['#]],tab_budget[['#]:[Rozpočtová položka]],8,FALSE))</f>
        <v/>
      </c>
      <c r="P175" s="457" t="str">
        <f>IF(ISBLANK(tab_invoices[[#This Row],['#]]),"",VLOOKUP(tab_invoices[[#This Row],['#]],tab_budget[['#]:[Rozpočtová kapitola]],9,FALSE))</f>
        <v/>
      </c>
      <c r="Q175" s="457" t="str">
        <f>IF(ISBLANK(tab_invoices[[#This Row],['#]]),"",VLOOKUP(tab_invoices[[#This Row],['#]],tab_budget[['#]:[Realizuje]],10,FALSE))</f>
        <v/>
      </c>
      <c r="R175" s="457"/>
      <c r="S175" s="457"/>
    </row>
    <row r="176" spans="1:19" s="307" customFormat="1" ht="10.199999999999999" x14ac:dyDescent="0.2">
      <c r="A176" s="451">
        <f t="shared" si="5"/>
        <v>167</v>
      </c>
      <c r="B176" s="452"/>
      <c r="C176" s="453"/>
      <c r="D176" s="454"/>
      <c r="E176" s="454"/>
      <c r="F176" s="452"/>
      <c r="G176" s="455"/>
      <c r="H176" s="455"/>
      <c r="I176" s="452"/>
      <c r="J176" s="452"/>
      <c r="K176" s="291">
        <f>tab_invoices[[#This Row],[Množstvo]]*tab_invoices[[#This Row],[Náklady na jednotku]]</f>
        <v>0</v>
      </c>
      <c r="L176" s="454"/>
      <c r="M176" s="292" t="str">
        <f>IF(ISBLANK(tab_invoices[[#This Row],['#]]),"",VLOOKUP(tab_invoices[[#This Row],['#]],tab_budget[['#]:[Rozpočtová položka]],2,FALSE))</f>
        <v/>
      </c>
      <c r="N176" s="457" t="str">
        <f>IF(ISBLANK(tab_invoices[[#This Row],['#]]),"",VLOOKUP(tab_invoices[[#This Row],['#]],tab_budget[['#]:[Typ výdavku]],7,FALSE))</f>
        <v/>
      </c>
      <c r="O176" s="457" t="str">
        <f>IF(ISBLANK(tab_invoices[[#This Row],['#]]),"",VLOOKUP(tab_invoices[[#This Row],['#]],tab_budget[['#]:[Rozpočtová položka]],8,FALSE))</f>
        <v/>
      </c>
      <c r="P176" s="457" t="str">
        <f>IF(ISBLANK(tab_invoices[[#This Row],['#]]),"",VLOOKUP(tab_invoices[[#This Row],['#]],tab_budget[['#]:[Rozpočtová kapitola]],9,FALSE))</f>
        <v/>
      </c>
      <c r="Q176" s="457" t="str">
        <f>IF(ISBLANK(tab_invoices[[#This Row],['#]]),"",VLOOKUP(tab_invoices[[#This Row],['#]],tab_budget[['#]:[Realizuje]],10,FALSE))</f>
        <v/>
      </c>
      <c r="R176" s="457"/>
      <c r="S176" s="457"/>
    </row>
    <row r="177" spans="1:19" s="307" customFormat="1" ht="10.199999999999999" x14ac:dyDescent="0.2">
      <c r="A177" s="451">
        <f t="shared" si="5"/>
        <v>168</v>
      </c>
      <c r="B177" s="452"/>
      <c r="C177" s="453"/>
      <c r="D177" s="454"/>
      <c r="E177" s="454"/>
      <c r="F177" s="452"/>
      <c r="G177" s="455"/>
      <c r="H177" s="455"/>
      <c r="I177" s="452"/>
      <c r="J177" s="452"/>
      <c r="K177" s="291">
        <f>tab_invoices[[#This Row],[Množstvo]]*tab_invoices[[#This Row],[Náklady na jednotku]]</f>
        <v>0</v>
      </c>
      <c r="L177" s="454"/>
      <c r="M177" s="292" t="str">
        <f>IF(ISBLANK(tab_invoices[[#This Row],['#]]),"",VLOOKUP(tab_invoices[[#This Row],['#]],tab_budget[['#]:[Rozpočtová položka]],2,FALSE))</f>
        <v/>
      </c>
      <c r="N177" s="457" t="str">
        <f>IF(ISBLANK(tab_invoices[[#This Row],['#]]),"",VLOOKUP(tab_invoices[[#This Row],['#]],tab_budget[['#]:[Typ výdavku]],7,FALSE))</f>
        <v/>
      </c>
      <c r="O177" s="457" t="str">
        <f>IF(ISBLANK(tab_invoices[[#This Row],['#]]),"",VLOOKUP(tab_invoices[[#This Row],['#]],tab_budget[['#]:[Rozpočtová položka]],8,FALSE))</f>
        <v/>
      </c>
      <c r="P177" s="457" t="str">
        <f>IF(ISBLANK(tab_invoices[[#This Row],['#]]),"",VLOOKUP(tab_invoices[[#This Row],['#]],tab_budget[['#]:[Rozpočtová kapitola]],9,FALSE))</f>
        <v/>
      </c>
      <c r="Q177" s="457" t="str">
        <f>IF(ISBLANK(tab_invoices[[#This Row],['#]]),"",VLOOKUP(tab_invoices[[#This Row],['#]],tab_budget[['#]:[Realizuje]],10,FALSE))</f>
        <v/>
      </c>
      <c r="R177" s="457"/>
      <c r="S177" s="457"/>
    </row>
    <row r="178" spans="1:19" s="307" customFormat="1" ht="10.199999999999999" x14ac:dyDescent="0.2">
      <c r="A178" s="451">
        <f t="shared" si="5"/>
        <v>169</v>
      </c>
      <c r="B178" s="452"/>
      <c r="C178" s="453"/>
      <c r="D178" s="454"/>
      <c r="E178" s="454"/>
      <c r="F178" s="452"/>
      <c r="G178" s="455"/>
      <c r="H178" s="455"/>
      <c r="I178" s="452"/>
      <c r="J178" s="452"/>
      <c r="K178" s="291">
        <f>tab_invoices[[#This Row],[Množstvo]]*tab_invoices[[#This Row],[Náklady na jednotku]]</f>
        <v>0</v>
      </c>
      <c r="L178" s="454"/>
      <c r="M178" s="292" t="str">
        <f>IF(ISBLANK(tab_invoices[[#This Row],['#]]),"",VLOOKUP(tab_invoices[[#This Row],['#]],tab_budget[['#]:[Rozpočtová položka]],2,FALSE))</f>
        <v/>
      </c>
      <c r="N178" s="457" t="str">
        <f>IF(ISBLANK(tab_invoices[[#This Row],['#]]),"",VLOOKUP(tab_invoices[[#This Row],['#]],tab_budget[['#]:[Typ výdavku]],7,FALSE))</f>
        <v/>
      </c>
      <c r="O178" s="457" t="str">
        <f>IF(ISBLANK(tab_invoices[[#This Row],['#]]),"",VLOOKUP(tab_invoices[[#This Row],['#]],tab_budget[['#]:[Rozpočtová položka]],8,FALSE))</f>
        <v/>
      </c>
      <c r="P178" s="457" t="str">
        <f>IF(ISBLANK(tab_invoices[[#This Row],['#]]),"",VLOOKUP(tab_invoices[[#This Row],['#]],tab_budget[['#]:[Rozpočtová kapitola]],9,FALSE))</f>
        <v/>
      </c>
      <c r="Q178" s="457" t="str">
        <f>IF(ISBLANK(tab_invoices[[#This Row],['#]]),"",VLOOKUP(tab_invoices[[#This Row],['#]],tab_budget[['#]:[Realizuje]],10,FALSE))</f>
        <v/>
      </c>
      <c r="R178" s="457"/>
      <c r="S178" s="457"/>
    </row>
    <row r="179" spans="1:19" s="307" customFormat="1" ht="10.199999999999999" x14ac:dyDescent="0.2">
      <c r="A179" s="451">
        <f t="shared" si="5"/>
        <v>170</v>
      </c>
      <c r="B179" s="452"/>
      <c r="C179" s="453"/>
      <c r="D179" s="454"/>
      <c r="E179" s="454"/>
      <c r="F179" s="452"/>
      <c r="G179" s="455"/>
      <c r="H179" s="455"/>
      <c r="I179" s="452"/>
      <c r="J179" s="452"/>
      <c r="K179" s="291">
        <f>tab_invoices[[#This Row],[Množstvo]]*tab_invoices[[#This Row],[Náklady na jednotku]]</f>
        <v>0</v>
      </c>
      <c r="L179" s="454"/>
      <c r="M179" s="292" t="str">
        <f>IF(ISBLANK(tab_invoices[[#This Row],['#]]),"",VLOOKUP(tab_invoices[[#This Row],['#]],tab_budget[['#]:[Rozpočtová položka]],2,FALSE))</f>
        <v/>
      </c>
      <c r="N179" s="457" t="str">
        <f>IF(ISBLANK(tab_invoices[[#This Row],['#]]),"",VLOOKUP(tab_invoices[[#This Row],['#]],tab_budget[['#]:[Typ výdavku]],7,FALSE))</f>
        <v/>
      </c>
      <c r="O179" s="457" t="str">
        <f>IF(ISBLANK(tab_invoices[[#This Row],['#]]),"",VLOOKUP(tab_invoices[[#This Row],['#]],tab_budget[['#]:[Rozpočtová položka]],8,FALSE))</f>
        <v/>
      </c>
      <c r="P179" s="457" t="str">
        <f>IF(ISBLANK(tab_invoices[[#This Row],['#]]),"",VLOOKUP(tab_invoices[[#This Row],['#]],tab_budget[['#]:[Rozpočtová kapitola]],9,FALSE))</f>
        <v/>
      </c>
      <c r="Q179" s="457" t="str">
        <f>IF(ISBLANK(tab_invoices[[#This Row],['#]]),"",VLOOKUP(tab_invoices[[#This Row],['#]],tab_budget[['#]:[Realizuje]],10,FALSE))</f>
        <v/>
      </c>
      <c r="R179" s="457"/>
      <c r="S179" s="457"/>
    </row>
    <row r="180" spans="1:19" s="307" customFormat="1" ht="10.199999999999999" x14ac:dyDescent="0.2">
      <c r="A180" s="451">
        <f t="shared" si="5"/>
        <v>171</v>
      </c>
      <c r="B180" s="452"/>
      <c r="C180" s="453"/>
      <c r="D180" s="454"/>
      <c r="E180" s="454"/>
      <c r="F180" s="452"/>
      <c r="G180" s="455"/>
      <c r="H180" s="455"/>
      <c r="I180" s="452"/>
      <c r="J180" s="452"/>
      <c r="K180" s="291">
        <f>tab_invoices[[#This Row],[Množstvo]]*tab_invoices[[#This Row],[Náklady na jednotku]]</f>
        <v>0</v>
      </c>
      <c r="L180" s="454"/>
      <c r="M180" s="292" t="str">
        <f>IF(ISBLANK(tab_invoices[[#This Row],['#]]),"",VLOOKUP(tab_invoices[[#This Row],['#]],tab_budget[['#]:[Rozpočtová položka]],2,FALSE))</f>
        <v/>
      </c>
      <c r="N180" s="457" t="str">
        <f>IF(ISBLANK(tab_invoices[[#This Row],['#]]),"",VLOOKUP(tab_invoices[[#This Row],['#]],tab_budget[['#]:[Typ výdavku]],7,FALSE))</f>
        <v/>
      </c>
      <c r="O180" s="457" t="str">
        <f>IF(ISBLANK(tab_invoices[[#This Row],['#]]),"",VLOOKUP(tab_invoices[[#This Row],['#]],tab_budget[['#]:[Rozpočtová položka]],8,FALSE))</f>
        <v/>
      </c>
      <c r="P180" s="457" t="str">
        <f>IF(ISBLANK(tab_invoices[[#This Row],['#]]),"",VLOOKUP(tab_invoices[[#This Row],['#]],tab_budget[['#]:[Rozpočtová kapitola]],9,FALSE))</f>
        <v/>
      </c>
      <c r="Q180" s="457" t="str">
        <f>IF(ISBLANK(tab_invoices[[#This Row],['#]]),"",VLOOKUP(tab_invoices[[#This Row],['#]],tab_budget[['#]:[Realizuje]],10,FALSE))</f>
        <v/>
      </c>
      <c r="R180" s="457"/>
      <c r="S180" s="457"/>
    </row>
    <row r="181" spans="1:19" s="307" customFormat="1" ht="10.199999999999999" x14ac:dyDescent="0.2">
      <c r="A181" s="451">
        <f t="shared" si="5"/>
        <v>172</v>
      </c>
      <c r="B181" s="452"/>
      <c r="C181" s="453"/>
      <c r="D181" s="454"/>
      <c r="E181" s="454"/>
      <c r="F181" s="452"/>
      <c r="G181" s="455"/>
      <c r="H181" s="455"/>
      <c r="I181" s="452"/>
      <c r="J181" s="452"/>
      <c r="K181" s="291">
        <f>tab_invoices[[#This Row],[Množstvo]]*tab_invoices[[#This Row],[Náklady na jednotku]]</f>
        <v>0</v>
      </c>
      <c r="L181" s="454"/>
      <c r="M181" s="292" t="str">
        <f>IF(ISBLANK(tab_invoices[[#This Row],['#]]),"",VLOOKUP(tab_invoices[[#This Row],['#]],tab_budget[['#]:[Rozpočtová položka]],2,FALSE))</f>
        <v/>
      </c>
      <c r="N181" s="457" t="str">
        <f>IF(ISBLANK(tab_invoices[[#This Row],['#]]),"",VLOOKUP(tab_invoices[[#This Row],['#]],tab_budget[['#]:[Typ výdavku]],7,FALSE))</f>
        <v/>
      </c>
      <c r="O181" s="457" t="str">
        <f>IF(ISBLANK(tab_invoices[[#This Row],['#]]),"",VLOOKUP(tab_invoices[[#This Row],['#]],tab_budget[['#]:[Rozpočtová položka]],8,FALSE))</f>
        <v/>
      </c>
      <c r="P181" s="457" t="str">
        <f>IF(ISBLANK(tab_invoices[[#This Row],['#]]),"",VLOOKUP(tab_invoices[[#This Row],['#]],tab_budget[['#]:[Rozpočtová kapitola]],9,FALSE))</f>
        <v/>
      </c>
      <c r="Q181" s="457" t="str">
        <f>IF(ISBLANK(tab_invoices[[#This Row],['#]]),"",VLOOKUP(tab_invoices[[#This Row],['#]],tab_budget[['#]:[Realizuje]],10,FALSE))</f>
        <v/>
      </c>
      <c r="R181" s="457"/>
      <c r="S181" s="457"/>
    </row>
    <row r="182" spans="1:19" s="307" customFormat="1" ht="10.199999999999999" x14ac:dyDescent="0.2">
      <c r="A182" s="451">
        <f t="shared" si="5"/>
        <v>173</v>
      </c>
      <c r="B182" s="452"/>
      <c r="C182" s="453"/>
      <c r="D182" s="454"/>
      <c r="E182" s="454"/>
      <c r="F182" s="452"/>
      <c r="G182" s="455"/>
      <c r="H182" s="455"/>
      <c r="I182" s="452"/>
      <c r="J182" s="452"/>
      <c r="K182" s="291">
        <f>tab_invoices[[#This Row],[Množstvo]]*tab_invoices[[#This Row],[Náklady na jednotku]]</f>
        <v>0</v>
      </c>
      <c r="L182" s="454"/>
      <c r="M182" s="292" t="str">
        <f>IF(ISBLANK(tab_invoices[[#This Row],['#]]),"",VLOOKUP(tab_invoices[[#This Row],['#]],tab_budget[['#]:[Rozpočtová položka]],2,FALSE))</f>
        <v/>
      </c>
      <c r="N182" s="457" t="str">
        <f>IF(ISBLANK(tab_invoices[[#This Row],['#]]),"",VLOOKUP(tab_invoices[[#This Row],['#]],tab_budget[['#]:[Typ výdavku]],7,FALSE))</f>
        <v/>
      </c>
      <c r="O182" s="457" t="str">
        <f>IF(ISBLANK(tab_invoices[[#This Row],['#]]),"",VLOOKUP(tab_invoices[[#This Row],['#]],tab_budget[['#]:[Rozpočtová položka]],8,FALSE))</f>
        <v/>
      </c>
      <c r="P182" s="457" t="str">
        <f>IF(ISBLANK(tab_invoices[[#This Row],['#]]),"",VLOOKUP(tab_invoices[[#This Row],['#]],tab_budget[['#]:[Rozpočtová kapitola]],9,FALSE))</f>
        <v/>
      </c>
      <c r="Q182" s="457" t="str">
        <f>IF(ISBLANK(tab_invoices[[#This Row],['#]]),"",VLOOKUP(tab_invoices[[#This Row],['#]],tab_budget[['#]:[Realizuje]],10,FALSE))</f>
        <v/>
      </c>
      <c r="R182" s="457"/>
      <c r="S182" s="457"/>
    </row>
    <row r="183" spans="1:19" s="307" customFormat="1" ht="10.199999999999999" x14ac:dyDescent="0.2">
      <c r="A183" s="451">
        <f t="shared" si="5"/>
        <v>174</v>
      </c>
      <c r="B183" s="452"/>
      <c r="C183" s="453"/>
      <c r="D183" s="454"/>
      <c r="E183" s="454"/>
      <c r="F183" s="452"/>
      <c r="G183" s="455"/>
      <c r="H183" s="455"/>
      <c r="I183" s="452"/>
      <c r="J183" s="452"/>
      <c r="K183" s="291">
        <f>tab_invoices[[#This Row],[Množstvo]]*tab_invoices[[#This Row],[Náklady na jednotku]]</f>
        <v>0</v>
      </c>
      <c r="L183" s="454"/>
      <c r="M183" s="292" t="str">
        <f>IF(ISBLANK(tab_invoices[[#This Row],['#]]),"",VLOOKUP(tab_invoices[[#This Row],['#]],tab_budget[['#]:[Rozpočtová položka]],2,FALSE))</f>
        <v/>
      </c>
      <c r="N183" s="457" t="str">
        <f>IF(ISBLANK(tab_invoices[[#This Row],['#]]),"",VLOOKUP(tab_invoices[[#This Row],['#]],tab_budget[['#]:[Typ výdavku]],7,FALSE))</f>
        <v/>
      </c>
      <c r="O183" s="457" t="str">
        <f>IF(ISBLANK(tab_invoices[[#This Row],['#]]),"",VLOOKUP(tab_invoices[[#This Row],['#]],tab_budget[['#]:[Rozpočtová položka]],8,FALSE))</f>
        <v/>
      </c>
      <c r="P183" s="457" t="str">
        <f>IF(ISBLANK(tab_invoices[[#This Row],['#]]),"",VLOOKUP(tab_invoices[[#This Row],['#]],tab_budget[['#]:[Rozpočtová kapitola]],9,FALSE))</f>
        <v/>
      </c>
      <c r="Q183" s="457" t="str">
        <f>IF(ISBLANK(tab_invoices[[#This Row],['#]]),"",VLOOKUP(tab_invoices[[#This Row],['#]],tab_budget[['#]:[Realizuje]],10,FALSE))</f>
        <v/>
      </c>
      <c r="R183" s="457"/>
      <c r="S183" s="457"/>
    </row>
    <row r="184" spans="1:19" s="307" customFormat="1" ht="10.199999999999999" x14ac:dyDescent="0.2">
      <c r="A184" s="451">
        <f t="shared" si="5"/>
        <v>175</v>
      </c>
      <c r="B184" s="452"/>
      <c r="C184" s="453"/>
      <c r="D184" s="454"/>
      <c r="E184" s="454"/>
      <c r="F184" s="452"/>
      <c r="G184" s="455"/>
      <c r="H184" s="455"/>
      <c r="I184" s="452"/>
      <c r="J184" s="452"/>
      <c r="K184" s="291">
        <f>tab_invoices[[#This Row],[Množstvo]]*tab_invoices[[#This Row],[Náklady na jednotku]]</f>
        <v>0</v>
      </c>
      <c r="L184" s="454"/>
      <c r="M184" s="292" t="str">
        <f>IF(ISBLANK(tab_invoices[[#This Row],['#]]),"",VLOOKUP(tab_invoices[[#This Row],['#]],tab_budget[['#]:[Rozpočtová položka]],2,FALSE))</f>
        <v/>
      </c>
      <c r="N184" s="457" t="str">
        <f>IF(ISBLANK(tab_invoices[[#This Row],['#]]),"",VLOOKUP(tab_invoices[[#This Row],['#]],tab_budget[['#]:[Typ výdavku]],7,FALSE))</f>
        <v/>
      </c>
      <c r="O184" s="457" t="str">
        <f>IF(ISBLANK(tab_invoices[[#This Row],['#]]),"",VLOOKUP(tab_invoices[[#This Row],['#]],tab_budget[['#]:[Rozpočtová položka]],8,FALSE))</f>
        <v/>
      </c>
      <c r="P184" s="457" t="str">
        <f>IF(ISBLANK(tab_invoices[[#This Row],['#]]),"",VLOOKUP(tab_invoices[[#This Row],['#]],tab_budget[['#]:[Rozpočtová kapitola]],9,FALSE))</f>
        <v/>
      </c>
      <c r="Q184" s="457" t="str">
        <f>IF(ISBLANK(tab_invoices[[#This Row],['#]]),"",VLOOKUP(tab_invoices[[#This Row],['#]],tab_budget[['#]:[Realizuje]],10,FALSE))</f>
        <v/>
      </c>
      <c r="R184" s="457"/>
      <c r="S184" s="457"/>
    </row>
    <row r="185" spans="1:19" s="307" customFormat="1" ht="10.199999999999999" x14ac:dyDescent="0.2">
      <c r="A185" s="451">
        <f t="shared" si="5"/>
        <v>176</v>
      </c>
      <c r="B185" s="452"/>
      <c r="C185" s="453"/>
      <c r="D185" s="454"/>
      <c r="E185" s="454"/>
      <c r="F185" s="452"/>
      <c r="G185" s="455"/>
      <c r="H185" s="455"/>
      <c r="I185" s="452"/>
      <c r="J185" s="452"/>
      <c r="K185" s="291">
        <f>tab_invoices[[#This Row],[Množstvo]]*tab_invoices[[#This Row],[Náklady na jednotku]]</f>
        <v>0</v>
      </c>
      <c r="L185" s="454"/>
      <c r="M185" s="292" t="str">
        <f>IF(ISBLANK(tab_invoices[[#This Row],['#]]),"",VLOOKUP(tab_invoices[[#This Row],['#]],tab_budget[['#]:[Rozpočtová položka]],2,FALSE))</f>
        <v/>
      </c>
      <c r="N185" s="457" t="str">
        <f>IF(ISBLANK(tab_invoices[[#This Row],['#]]),"",VLOOKUP(tab_invoices[[#This Row],['#]],tab_budget[['#]:[Typ výdavku]],7,FALSE))</f>
        <v/>
      </c>
      <c r="O185" s="457" t="str">
        <f>IF(ISBLANK(tab_invoices[[#This Row],['#]]),"",VLOOKUP(tab_invoices[[#This Row],['#]],tab_budget[['#]:[Rozpočtová položka]],8,FALSE))</f>
        <v/>
      </c>
      <c r="P185" s="457" t="str">
        <f>IF(ISBLANK(tab_invoices[[#This Row],['#]]),"",VLOOKUP(tab_invoices[[#This Row],['#]],tab_budget[['#]:[Rozpočtová kapitola]],9,FALSE))</f>
        <v/>
      </c>
      <c r="Q185" s="457" t="str">
        <f>IF(ISBLANK(tab_invoices[[#This Row],['#]]),"",VLOOKUP(tab_invoices[[#This Row],['#]],tab_budget[['#]:[Realizuje]],10,FALSE))</f>
        <v/>
      </c>
      <c r="R185" s="457"/>
      <c r="S185" s="457"/>
    </row>
    <row r="186" spans="1:19" s="307" customFormat="1" ht="10.199999999999999" x14ac:dyDescent="0.2">
      <c r="A186" s="451">
        <f t="shared" si="5"/>
        <v>177</v>
      </c>
      <c r="B186" s="452"/>
      <c r="C186" s="453"/>
      <c r="D186" s="454"/>
      <c r="E186" s="454"/>
      <c r="F186" s="452"/>
      <c r="G186" s="455"/>
      <c r="H186" s="455"/>
      <c r="I186" s="452"/>
      <c r="J186" s="452"/>
      <c r="K186" s="291">
        <f>tab_invoices[[#This Row],[Množstvo]]*tab_invoices[[#This Row],[Náklady na jednotku]]</f>
        <v>0</v>
      </c>
      <c r="L186" s="454"/>
      <c r="M186" s="292" t="str">
        <f>IF(ISBLANK(tab_invoices[[#This Row],['#]]),"",VLOOKUP(tab_invoices[[#This Row],['#]],tab_budget[['#]:[Rozpočtová položka]],2,FALSE))</f>
        <v/>
      </c>
      <c r="N186" s="457" t="str">
        <f>IF(ISBLANK(tab_invoices[[#This Row],['#]]),"",VLOOKUP(tab_invoices[[#This Row],['#]],tab_budget[['#]:[Typ výdavku]],7,FALSE))</f>
        <v/>
      </c>
      <c r="O186" s="457" t="str">
        <f>IF(ISBLANK(tab_invoices[[#This Row],['#]]),"",VLOOKUP(tab_invoices[[#This Row],['#]],tab_budget[['#]:[Rozpočtová položka]],8,FALSE))</f>
        <v/>
      </c>
      <c r="P186" s="457" t="str">
        <f>IF(ISBLANK(tab_invoices[[#This Row],['#]]),"",VLOOKUP(tab_invoices[[#This Row],['#]],tab_budget[['#]:[Rozpočtová kapitola]],9,FALSE))</f>
        <v/>
      </c>
      <c r="Q186" s="457" t="str">
        <f>IF(ISBLANK(tab_invoices[[#This Row],['#]]),"",VLOOKUP(tab_invoices[[#This Row],['#]],tab_budget[['#]:[Realizuje]],10,FALSE))</f>
        <v/>
      </c>
      <c r="R186" s="457"/>
      <c r="S186" s="457"/>
    </row>
    <row r="187" spans="1:19" s="307" customFormat="1" ht="10.199999999999999" x14ac:dyDescent="0.2">
      <c r="A187" s="451">
        <f t="shared" si="5"/>
        <v>178</v>
      </c>
      <c r="B187" s="452"/>
      <c r="C187" s="453"/>
      <c r="D187" s="454"/>
      <c r="E187" s="454"/>
      <c r="F187" s="452"/>
      <c r="G187" s="455"/>
      <c r="H187" s="455"/>
      <c r="I187" s="452"/>
      <c r="J187" s="452"/>
      <c r="K187" s="291">
        <f>tab_invoices[[#This Row],[Množstvo]]*tab_invoices[[#This Row],[Náklady na jednotku]]</f>
        <v>0</v>
      </c>
      <c r="L187" s="454"/>
      <c r="M187" s="292" t="str">
        <f>IF(ISBLANK(tab_invoices[[#This Row],['#]]),"",VLOOKUP(tab_invoices[[#This Row],['#]],tab_budget[['#]:[Rozpočtová položka]],2,FALSE))</f>
        <v/>
      </c>
      <c r="N187" s="457" t="str">
        <f>IF(ISBLANK(tab_invoices[[#This Row],['#]]),"",VLOOKUP(tab_invoices[[#This Row],['#]],tab_budget[['#]:[Typ výdavku]],7,FALSE))</f>
        <v/>
      </c>
      <c r="O187" s="457" t="str">
        <f>IF(ISBLANK(tab_invoices[[#This Row],['#]]),"",VLOOKUP(tab_invoices[[#This Row],['#]],tab_budget[['#]:[Rozpočtová položka]],8,FALSE))</f>
        <v/>
      </c>
      <c r="P187" s="457" t="str">
        <f>IF(ISBLANK(tab_invoices[[#This Row],['#]]),"",VLOOKUP(tab_invoices[[#This Row],['#]],tab_budget[['#]:[Rozpočtová kapitola]],9,FALSE))</f>
        <v/>
      </c>
      <c r="Q187" s="457" t="str">
        <f>IF(ISBLANK(tab_invoices[[#This Row],['#]]),"",VLOOKUP(tab_invoices[[#This Row],['#]],tab_budget[['#]:[Realizuje]],10,FALSE))</f>
        <v/>
      </c>
      <c r="R187" s="457"/>
      <c r="S187" s="457"/>
    </row>
    <row r="188" spans="1:19" s="307" customFormat="1" ht="10.199999999999999" x14ac:dyDescent="0.2">
      <c r="A188" s="451">
        <f t="shared" si="5"/>
        <v>179</v>
      </c>
      <c r="B188" s="452"/>
      <c r="C188" s="453"/>
      <c r="D188" s="454"/>
      <c r="E188" s="454"/>
      <c r="F188" s="452"/>
      <c r="G188" s="455"/>
      <c r="H188" s="455"/>
      <c r="I188" s="452"/>
      <c r="J188" s="452"/>
      <c r="K188" s="291">
        <f>tab_invoices[[#This Row],[Množstvo]]*tab_invoices[[#This Row],[Náklady na jednotku]]</f>
        <v>0</v>
      </c>
      <c r="L188" s="454"/>
      <c r="M188" s="292" t="str">
        <f>IF(ISBLANK(tab_invoices[[#This Row],['#]]),"",VLOOKUP(tab_invoices[[#This Row],['#]],tab_budget[['#]:[Rozpočtová položka]],2,FALSE))</f>
        <v/>
      </c>
      <c r="N188" s="457" t="str">
        <f>IF(ISBLANK(tab_invoices[[#This Row],['#]]),"",VLOOKUP(tab_invoices[[#This Row],['#]],tab_budget[['#]:[Typ výdavku]],7,FALSE))</f>
        <v/>
      </c>
      <c r="O188" s="457" t="str">
        <f>IF(ISBLANK(tab_invoices[[#This Row],['#]]),"",VLOOKUP(tab_invoices[[#This Row],['#]],tab_budget[['#]:[Rozpočtová položka]],8,FALSE))</f>
        <v/>
      </c>
      <c r="P188" s="457" t="str">
        <f>IF(ISBLANK(tab_invoices[[#This Row],['#]]),"",VLOOKUP(tab_invoices[[#This Row],['#]],tab_budget[['#]:[Rozpočtová kapitola]],9,FALSE))</f>
        <v/>
      </c>
      <c r="Q188" s="457" t="str">
        <f>IF(ISBLANK(tab_invoices[[#This Row],['#]]),"",VLOOKUP(tab_invoices[[#This Row],['#]],tab_budget[['#]:[Realizuje]],10,FALSE))</f>
        <v/>
      </c>
      <c r="R188" s="457"/>
      <c r="S188" s="457"/>
    </row>
    <row r="189" spans="1:19" s="307" customFormat="1" ht="10.199999999999999" x14ac:dyDescent="0.2">
      <c r="A189" s="451">
        <f t="shared" si="5"/>
        <v>180</v>
      </c>
      <c r="B189" s="452"/>
      <c r="C189" s="453"/>
      <c r="D189" s="454"/>
      <c r="E189" s="454"/>
      <c r="F189" s="452"/>
      <c r="G189" s="455"/>
      <c r="H189" s="455"/>
      <c r="I189" s="452"/>
      <c r="J189" s="452"/>
      <c r="K189" s="291">
        <f>tab_invoices[[#This Row],[Množstvo]]*tab_invoices[[#This Row],[Náklady na jednotku]]</f>
        <v>0</v>
      </c>
      <c r="L189" s="454"/>
      <c r="M189" s="292" t="str">
        <f>IF(ISBLANK(tab_invoices[[#This Row],['#]]),"",VLOOKUP(tab_invoices[[#This Row],['#]],tab_budget[['#]:[Rozpočtová položka]],2,FALSE))</f>
        <v/>
      </c>
      <c r="N189" s="457" t="str">
        <f>IF(ISBLANK(tab_invoices[[#This Row],['#]]),"",VLOOKUP(tab_invoices[[#This Row],['#]],tab_budget[['#]:[Typ výdavku]],7,FALSE))</f>
        <v/>
      </c>
      <c r="O189" s="457" t="str">
        <f>IF(ISBLANK(tab_invoices[[#This Row],['#]]),"",VLOOKUP(tab_invoices[[#This Row],['#]],tab_budget[['#]:[Rozpočtová položka]],8,FALSE))</f>
        <v/>
      </c>
      <c r="P189" s="457" t="str">
        <f>IF(ISBLANK(tab_invoices[[#This Row],['#]]),"",VLOOKUP(tab_invoices[[#This Row],['#]],tab_budget[['#]:[Rozpočtová kapitola]],9,FALSE))</f>
        <v/>
      </c>
      <c r="Q189" s="457" t="str">
        <f>IF(ISBLANK(tab_invoices[[#This Row],['#]]),"",VLOOKUP(tab_invoices[[#This Row],['#]],tab_budget[['#]:[Realizuje]],10,FALSE))</f>
        <v/>
      </c>
      <c r="R189" s="457"/>
      <c r="S189" s="457"/>
    </row>
    <row r="190" spans="1:19" s="307" customFormat="1" ht="10.199999999999999" x14ac:dyDescent="0.2">
      <c r="A190" s="451">
        <f t="shared" si="5"/>
        <v>181</v>
      </c>
      <c r="B190" s="452"/>
      <c r="C190" s="453"/>
      <c r="D190" s="454"/>
      <c r="E190" s="454"/>
      <c r="F190" s="452"/>
      <c r="G190" s="455"/>
      <c r="H190" s="455"/>
      <c r="I190" s="452"/>
      <c r="J190" s="452"/>
      <c r="K190" s="291">
        <f>tab_invoices[[#This Row],[Množstvo]]*tab_invoices[[#This Row],[Náklady na jednotku]]</f>
        <v>0</v>
      </c>
      <c r="L190" s="454"/>
      <c r="M190" s="292" t="str">
        <f>IF(ISBLANK(tab_invoices[[#This Row],['#]]),"",VLOOKUP(tab_invoices[[#This Row],['#]],tab_budget[['#]:[Rozpočtová položka]],2,FALSE))</f>
        <v/>
      </c>
      <c r="N190" s="457" t="str">
        <f>IF(ISBLANK(tab_invoices[[#This Row],['#]]),"",VLOOKUP(tab_invoices[[#This Row],['#]],tab_budget[['#]:[Typ výdavku]],7,FALSE))</f>
        <v/>
      </c>
      <c r="O190" s="457" t="str">
        <f>IF(ISBLANK(tab_invoices[[#This Row],['#]]),"",VLOOKUP(tab_invoices[[#This Row],['#]],tab_budget[['#]:[Rozpočtová položka]],8,FALSE))</f>
        <v/>
      </c>
      <c r="P190" s="457" t="str">
        <f>IF(ISBLANK(tab_invoices[[#This Row],['#]]),"",VLOOKUP(tab_invoices[[#This Row],['#]],tab_budget[['#]:[Rozpočtová kapitola]],9,FALSE))</f>
        <v/>
      </c>
      <c r="Q190" s="457" t="str">
        <f>IF(ISBLANK(tab_invoices[[#This Row],['#]]),"",VLOOKUP(tab_invoices[[#This Row],['#]],tab_budget[['#]:[Realizuje]],10,FALSE))</f>
        <v/>
      </c>
      <c r="R190" s="457"/>
      <c r="S190" s="457"/>
    </row>
    <row r="191" spans="1:19" s="307" customFormat="1" ht="10.199999999999999" x14ac:dyDescent="0.2">
      <c r="A191" s="451">
        <f t="shared" si="5"/>
        <v>182</v>
      </c>
      <c r="B191" s="452"/>
      <c r="C191" s="453"/>
      <c r="D191" s="454"/>
      <c r="E191" s="454"/>
      <c r="F191" s="452"/>
      <c r="G191" s="455"/>
      <c r="H191" s="455"/>
      <c r="I191" s="452"/>
      <c r="J191" s="452"/>
      <c r="K191" s="291">
        <f>tab_invoices[[#This Row],[Množstvo]]*tab_invoices[[#This Row],[Náklady na jednotku]]</f>
        <v>0</v>
      </c>
      <c r="L191" s="454"/>
      <c r="M191" s="292" t="str">
        <f>IF(ISBLANK(tab_invoices[[#This Row],['#]]),"",VLOOKUP(tab_invoices[[#This Row],['#]],tab_budget[['#]:[Rozpočtová položka]],2,FALSE))</f>
        <v/>
      </c>
      <c r="N191" s="457" t="str">
        <f>IF(ISBLANK(tab_invoices[[#This Row],['#]]),"",VLOOKUP(tab_invoices[[#This Row],['#]],tab_budget[['#]:[Typ výdavku]],7,FALSE))</f>
        <v/>
      </c>
      <c r="O191" s="457" t="str">
        <f>IF(ISBLANK(tab_invoices[[#This Row],['#]]),"",VLOOKUP(tab_invoices[[#This Row],['#]],tab_budget[['#]:[Rozpočtová položka]],8,FALSE))</f>
        <v/>
      </c>
      <c r="P191" s="457" t="str">
        <f>IF(ISBLANK(tab_invoices[[#This Row],['#]]),"",VLOOKUP(tab_invoices[[#This Row],['#]],tab_budget[['#]:[Rozpočtová kapitola]],9,FALSE))</f>
        <v/>
      </c>
      <c r="Q191" s="457" t="str">
        <f>IF(ISBLANK(tab_invoices[[#This Row],['#]]),"",VLOOKUP(tab_invoices[[#This Row],['#]],tab_budget[['#]:[Realizuje]],10,FALSE))</f>
        <v/>
      </c>
      <c r="R191" s="457"/>
      <c r="S191" s="457"/>
    </row>
    <row r="192" spans="1:19" s="307" customFormat="1" ht="10.199999999999999" x14ac:dyDescent="0.2">
      <c r="A192" s="451">
        <f t="shared" si="5"/>
        <v>183</v>
      </c>
      <c r="B192" s="452"/>
      <c r="C192" s="453"/>
      <c r="D192" s="454"/>
      <c r="E192" s="454"/>
      <c r="F192" s="452"/>
      <c r="G192" s="455"/>
      <c r="H192" s="455"/>
      <c r="I192" s="452"/>
      <c r="J192" s="452"/>
      <c r="K192" s="291">
        <f>tab_invoices[[#This Row],[Množstvo]]*tab_invoices[[#This Row],[Náklady na jednotku]]</f>
        <v>0</v>
      </c>
      <c r="L192" s="454"/>
      <c r="M192" s="292" t="str">
        <f>IF(ISBLANK(tab_invoices[[#This Row],['#]]),"",VLOOKUP(tab_invoices[[#This Row],['#]],tab_budget[['#]:[Rozpočtová položka]],2,FALSE))</f>
        <v/>
      </c>
      <c r="N192" s="457" t="str">
        <f>IF(ISBLANK(tab_invoices[[#This Row],['#]]),"",VLOOKUP(tab_invoices[[#This Row],['#]],tab_budget[['#]:[Typ výdavku]],7,FALSE))</f>
        <v/>
      </c>
      <c r="O192" s="457" t="str">
        <f>IF(ISBLANK(tab_invoices[[#This Row],['#]]),"",VLOOKUP(tab_invoices[[#This Row],['#]],tab_budget[['#]:[Rozpočtová položka]],8,FALSE))</f>
        <v/>
      </c>
      <c r="P192" s="457" t="str">
        <f>IF(ISBLANK(tab_invoices[[#This Row],['#]]),"",VLOOKUP(tab_invoices[[#This Row],['#]],tab_budget[['#]:[Rozpočtová kapitola]],9,FALSE))</f>
        <v/>
      </c>
      <c r="Q192" s="457" t="str">
        <f>IF(ISBLANK(tab_invoices[[#This Row],['#]]),"",VLOOKUP(tab_invoices[[#This Row],['#]],tab_budget[['#]:[Realizuje]],10,FALSE))</f>
        <v/>
      </c>
      <c r="R192" s="457"/>
      <c r="S192" s="457"/>
    </row>
    <row r="193" spans="1:19" s="307" customFormat="1" ht="10.199999999999999" x14ac:dyDescent="0.2">
      <c r="A193" s="451">
        <f t="shared" ref="A193:A210" si="6">ROW(B193)-9</f>
        <v>184</v>
      </c>
      <c r="B193" s="452"/>
      <c r="C193" s="453"/>
      <c r="D193" s="454"/>
      <c r="E193" s="454"/>
      <c r="F193" s="452"/>
      <c r="G193" s="455"/>
      <c r="H193" s="455"/>
      <c r="I193" s="452"/>
      <c r="J193" s="452"/>
      <c r="K193" s="291">
        <f>tab_invoices[[#This Row],[Množstvo]]*tab_invoices[[#This Row],[Náklady na jednotku]]</f>
        <v>0</v>
      </c>
      <c r="L193" s="454"/>
      <c r="M193" s="292" t="str">
        <f>IF(ISBLANK(tab_invoices[[#This Row],['#]]),"",VLOOKUP(tab_invoices[[#This Row],['#]],tab_budget[['#]:[Rozpočtová položka]],2,FALSE))</f>
        <v/>
      </c>
      <c r="N193" s="457" t="str">
        <f>IF(ISBLANK(tab_invoices[[#This Row],['#]]),"",VLOOKUP(tab_invoices[[#This Row],['#]],tab_budget[['#]:[Typ výdavku]],7,FALSE))</f>
        <v/>
      </c>
      <c r="O193" s="457" t="str">
        <f>IF(ISBLANK(tab_invoices[[#This Row],['#]]),"",VLOOKUP(tab_invoices[[#This Row],['#]],tab_budget[['#]:[Rozpočtová položka]],8,FALSE))</f>
        <v/>
      </c>
      <c r="P193" s="457" t="str">
        <f>IF(ISBLANK(tab_invoices[[#This Row],['#]]),"",VLOOKUP(tab_invoices[[#This Row],['#]],tab_budget[['#]:[Rozpočtová kapitola]],9,FALSE))</f>
        <v/>
      </c>
      <c r="Q193" s="457" t="str">
        <f>IF(ISBLANK(tab_invoices[[#This Row],['#]]),"",VLOOKUP(tab_invoices[[#This Row],['#]],tab_budget[['#]:[Realizuje]],10,FALSE))</f>
        <v/>
      </c>
      <c r="R193" s="457"/>
      <c r="S193" s="457"/>
    </row>
    <row r="194" spans="1:19" s="307" customFormat="1" ht="10.199999999999999" x14ac:dyDescent="0.2">
      <c r="A194" s="451">
        <f t="shared" si="6"/>
        <v>185</v>
      </c>
      <c r="B194" s="452"/>
      <c r="C194" s="453"/>
      <c r="D194" s="454"/>
      <c r="E194" s="454"/>
      <c r="F194" s="452"/>
      <c r="G194" s="455"/>
      <c r="H194" s="455"/>
      <c r="I194" s="452"/>
      <c r="J194" s="452"/>
      <c r="K194" s="291">
        <f>tab_invoices[[#This Row],[Množstvo]]*tab_invoices[[#This Row],[Náklady na jednotku]]</f>
        <v>0</v>
      </c>
      <c r="L194" s="454"/>
      <c r="M194" s="292" t="str">
        <f>IF(ISBLANK(tab_invoices[[#This Row],['#]]),"",VLOOKUP(tab_invoices[[#This Row],['#]],tab_budget[['#]:[Rozpočtová položka]],2,FALSE))</f>
        <v/>
      </c>
      <c r="N194" s="457" t="str">
        <f>IF(ISBLANK(tab_invoices[[#This Row],['#]]),"",VLOOKUP(tab_invoices[[#This Row],['#]],tab_budget[['#]:[Typ výdavku]],7,FALSE))</f>
        <v/>
      </c>
      <c r="O194" s="457" t="str">
        <f>IF(ISBLANK(tab_invoices[[#This Row],['#]]),"",VLOOKUP(tab_invoices[[#This Row],['#]],tab_budget[['#]:[Rozpočtová položka]],8,FALSE))</f>
        <v/>
      </c>
      <c r="P194" s="457" t="str">
        <f>IF(ISBLANK(tab_invoices[[#This Row],['#]]),"",VLOOKUP(tab_invoices[[#This Row],['#]],tab_budget[['#]:[Rozpočtová kapitola]],9,FALSE))</f>
        <v/>
      </c>
      <c r="Q194" s="457" t="str">
        <f>IF(ISBLANK(tab_invoices[[#This Row],['#]]),"",VLOOKUP(tab_invoices[[#This Row],['#]],tab_budget[['#]:[Realizuje]],10,FALSE))</f>
        <v/>
      </c>
      <c r="R194" s="457"/>
      <c r="S194" s="457"/>
    </row>
    <row r="195" spans="1:19" s="307" customFormat="1" ht="10.199999999999999" x14ac:dyDescent="0.2">
      <c r="A195" s="451">
        <f t="shared" si="6"/>
        <v>186</v>
      </c>
      <c r="B195" s="452"/>
      <c r="C195" s="453"/>
      <c r="D195" s="454"/>
      <c r="E195" s="454"/>
      <c r="F195" s="452"/>
      <c r="G195" s="455"/>
      <c r="H195" s="455"/>
      <c r="I195" s="452"/>
      <c r="J195" s="452"/>
      <c r="K195" s="291">
        <f>tab_invoices[[#This Row],[Množstvo]]*tab_invoices[[#This Row],[Náklady na jednotku]]</f>
        <v>0</v>
      </c>
      <c r="L195" s="454"/>
      <c r="M195" s="292" t="str">
        <f>IF(ISBLANK(tab_invoices[[#This Row],['#]]),"",VLOOKUP(tab_invoices[[#This Row],['#]],tab_budget[['#]:[Rozpočtová položka]],2,FALSE))</f>
        <v/>
      </c>
      <c r="N195" s="457" t="str">
        <f>IF(ISBLANK(tab_invoices[[#This Row],['#]]),"",VLOOKUP(tab_invoices[[#This Row],['#]],tab_budget[['#]:[Typ výdavku]],7,FALSE))</f>
        <v/>
      </c>
      <c r="O195" s="457" t="str">
        <f>IF(ISBLANK(tab_invoices[[#This Row],['#]]),"",VLOOKUP(tab_invoices[[#This Row],['#]],tab_budget[['#]:[Rozpočtová položka]],8,FALSE))</f>
        <v/>
      </c>
      <c r="P195" s="457" t="str">
        <f>IF(ISBLANK(tab_invoices[[#This Row],['#]]),"",VLOOKUP(tab_invoices[[#This Row],['#]],tab_budget[['#]:[Rozpočtová kapitola]],9,FALSE))</f>
        <v/>
      </c>
      <c r="Q195" s="457" t="str">
        <f>IF(ISBLANK(tab_invoices[[#This Row],['#]]),"",VLOOKUP(tab_invoices[[#This Row],['#]],tab_budget[['#]:[Realizuje]],10,FALSE))</f>
        <v/>
      </c>
      <c r="R195" s="457"/>
      <c r="S195" s="457"/>
    </row>
    <row r="196" spans="1:19" s="307" customFormat="1" ht="10.199999999999999" x14ac:dyDescent="0.2">
      <c r="A196" s="451">
        <f t="shared" si="6"/>
        <v>187</v>
      </c>
      <c r="B196" s="452"/>
      <c r="C196" s="453"/>
      <c r="D196" s="454"/>
      <c r="E196" s="454"/>
      <c r="F196" s="452"/>
      <c r="G196" s="455"/>
      <c r="H196" s="455"/>
      <c r="I196" s="452"/>
      <c r="J196" s="452"/>
      <c r="K196" s="291">
        <f>tab_invoices[[#This Row],[Množstvo]]*tab_invoices[[#This Row],[Náklady na jednotku]]</f>
        <v>0</v>
      </c>
      <c r="L196" s="454"/>
      <c r="M196" s="292" t="str">
        <f>IF(ISBLANK(tab_invoices[[#This Row],['#]]),"",VLOOKUP(tab_invoices[[#This Row],['#]],tab_budget[['#]:[Rozpočtová položka]],2,FALSE))</f>
        <v/>
      </c>
      <c r="N196" s="457" t="str">
        <f>IF(ISBLANK(tab_invoices[[#This Row],['#]]),"",VLOOKUP(tab_invoices[[#This Row],['#]],tab_budget[['#]:[Typ výdavku]],7,FALSE))</f>
        <v/>
      </c>
      <c r="O196" s="457" t="str">
        <f>IF(ISBLANK(tab_invoices[[#This Row],['#]]),"",VLOOKUP(tab_invoices[[#This Row],['#]],tab_budget[['#]:[Rozpočtová položka]],8,FALSE))</f>
        <v/>
      </c>
      <c r="P196" s="457" t="str">
        <f>IF(ISBLANK(tab_invoices[[#This Row],['#]]),"",VLOOKUP(tab_invoices[[#This Row],['#]],tab_budget[['#]:[Rozpočtová kapitola]],9,FALSE))</f>
        <v/>
      </c>
      <c r="Q196" s="457" t="str">
        <f>IF(ISBLANK(tab_invoices[[#This Row],['#]]),"",VLOOKUP(tab_invoices[[#This Row],['#]],tab_budget[['#]:[Realizuje]],10,FALSE))</f>
        <v/>
      </c>
      <c r="R196" s="457"/>
      <c r="S196" s="457"/>
    </row>
    <row r="197" spans="1:19" s="307" customFormat="1" ht="10.199999999999999" x14ac:dyDescent="0.2">
      <c r="A197" s="451">
        <f t="shared" si="6"/>
        <v>188</v>
      </c>
      <c r="B197" s="452"/>
      <c r="C197" s="453"/>
      <c r="D197" s="454"/>
      <c r="E197" s="454"/>
      <c r="F197" s="452"/>
      <c r="G197" s="455"/>
      <c r="H197" s="455"/>
      <c r="I197" s="452"/>
      <c r="J197" s="452"/>
      <c r="K197" s="291">
        <f>tab_invoices[[#This Row],[Množstvo]]*tab_invoices[[#This Row],[Náklady na jednotku]]</f>
        <v>0</v>
      </c>
      <c r="L197" s="454"/>
      <c r="M197" s="292" t="str">
        <f>IF(ISBLANK(tab_invoices[[#This Row],['#]]),"",VLOOKUP(tab_invoices[[#This Row],['#]],tab_budget[['#]:[Rozpočtová položka]],2,FALSE))</f>
        <v/>
      </c>
      <c r="N197" s="457" t="str">
        <f>IF(ISBLANK(tab_invoices[[#This Row],['#]]),"",VLOOKUP(tab_invoices[[#This Row],['#]],tab_budget[['#]:[Typ výdavku]],7,FALSE))</f>
        <v/>
      </c>
      <c r="O197" s="457" t="str">
        <f>IF(ISBLANK(tab_invoices[[#This Row],['#]]),"",VLOOKUP(tab_invoices[[#This Row],['#]],tab_budget[['#]:[Rozpočtová položka]],8,FALSE))</f>
        <v/>
      </c>
      <c r="P197" s="457" t="str">
        <f>IF(ISBLANK(tab_invoices[[#This Row],['#]]),"",VLOOKUP(tab_invoices[[#This Row],['#]],tab_budget[['#]:[Rozpočtová kapitola]],9,FALSE))</f>
        <v/>
      </c>
      <c r="Q197" s="457" t="str">
        <f>IF(ISBLANK(tab_invoices[[#This Row],['#]]),"",VLOOKUP(tab_invoices[[#This Row],['#]],tab_budget[['#]:[Realizuje]],10,FALSE))</f>
        <v/>
      </c>
      <c r="R197" s="457"/>
      <c r="S197" s="457"/>
    </row>
    <row r="198" spans="1:19" s="307" customFormat="1" ht="10.199999999999999" x14ac:dyDescent="0.2">
      <c r="A198" s="451">
        <f t="shared" si="6"/>
        <v>189</v>
      </c>
      <c r="B198" s="452"/>
      <c r="C198" s="453"/>
      <c r="D198" s="454"/>
      <c r="E198" s="454"/>
      <c r="F198" s="452"/>
      <c r="G198" s="455"/>
      <c r="H198" s="455"/>
      <c r="I198" s="452"/>
      <c r="J198" s="452"/>
      <c r="K198" s="291">
        <f>tab_invoices[[#This Row],[Množstvo]]*tab_invoices[[#This Row],[Náklady na jednotku]]</f>
        <v>0</v>
      </c>
      <c r="L198" s="454"/>
      <c r="M198" s="292" t="str">
        <f>IF(ISBLANK(tab_invoices[[#This Row],['#]]),"",VLOOKUP(tab_invoices[[#This Row],['#]],tab_budget[['#]:[Rozpočtová položka]],2,FALSE))</f>
        <v/>
      </c>
      <c r="N198" s="457" t="str">
        <f>IF(ISBLANK(tab_invoices[[#This Row],['#]]),"",VLOOKUP(tab_invoices[[#This Row],['#]],tab_budget[['#]:[Typ výdavku]],7,FALSE))</f>
        <v/>
      </c>
      <c r="O198" s="457" t="str">
        <f>IF(ISBLANK(tab_invoices[[#This Row],['#]]),"",VLOOKUP(tab_invoices[[#This Row],['#]],tab_budget[['#]:[Rozpočtová položka]],8,FALSE))</f>
        <v/>
      </c>
      <c r="P198" s="457" t="str">
        <f>IF(ISBLANK(tab_invoices[[#This Row],['#]]),"",VLOOKUP(tab_invoices[[#This Row],['#]],tab_budget[['#]:[Rozpočtová kapitola]],9,FALSE))</f>
        <v/>
      </c>
      <c r="Q198" s="457" t="str">
        <f>IF(ISBLANK(tab_invoices[[#This Row],['#]]),"",VLOOKUP(tab_invoices[[#This Row],['#]],tab_budget[['#]:[Realizuje]],10,FALSE))</f>
        <v/>
      </c>
      <c r="R198" s="457"/>
      <c r="S198" s="457"/>
    </row>
    <row r="199" spans="1:19" s="307" customFormat="1" ht="10.199999999999999" x14ac:dyDescent="0.2">
      <c r="A199" s="451">
        <f t="shared" si="6"/>
        <v>190</v>
      </c>
      <c r="B199" s="452"/>
      <c r="C199" s="453"/>
      <c r="D199" s="454"/>
      <c r="E199" s="454"/>
      <c r="F199" s="452"/>
      <c r="G199" s="455"/>
      <c r="H199" s="455"/>
      <c r="I199" s="452"/>
      <c r="J199" s="452"/>
      <c r="K199" s="291">
        <f>tab_invoices[[#This Row],[Množstvo]]*tab_invoices[[#This Row],[Náklady na jednotku]]</f>
        <v>0</v>
      </c>
      <c r="L199" s="454"/>
      <c r="M199" s="292" t="str">
        <f>IF(ISBLANK(tab_invoices[[#This Row],['#]]),"",VLOOKUP(tab_invoices[[#This Row],['#]],tab_budget[['#]:[Rozpočtová položka]],2,FALSE))</f>
        <v/>
      </c>
      <c r="N199" s="457" t="str">
        <f>IF(ISBLANK(tab_invoices[[#This Row],['#]]),"",VLOOKUP(tab_invoices[[#This Row],['#]],tab_budget[['#]:[Typ výdavku]],7,FALSE))</f>
        <v/>
      </c>
      <c r="O199" s="457" t="str">
        <f>IF(ISBLANK(tab_invoices[[#This Row],['#]]),"",VLOOKUP(tab_invoices[[#This Row],['#]],tab_budget[['#]:[Rozpočtová položka]],8,FALSE))</f>
        <v/>
      </c>
      <c r="P199" s="457" t="str">
        <f>IF(ISBLANK(tab_invoices[[#This Row],['#]]),"",VLOOKUP(tab_invoices[[#This Row],['#]],tab_budget[['#]:[Rozpočtová kapitola]],9,FALSE))</f>
        <v/>
      </c>
      <c r="Q199" s="457" t="str">
        <f>IF(ISBLANK(tab_invoices[[#This Row],['#]]),"",VLOOKUP(tab_invoices[[#This Row],['#]],tab_budget[['#]:[Realizuje]],10,FALSE))</f>
        <v/>
      </c>
      <c r="R199" s="457"/>
      <c r="S199" s="457"/>
    </row>
    <row r="200" spans="1:19" s="307" customFormat="1" ht="10.199999999999999" x14ac:dyDescent="0.2">
      <c r="A200" s="451">
        <f t="shared" si="6"/>
        <v>191</v>
      </c>
      <c r="B200" s="452"/>
      <c r="C200" s="453"/>
      <c r="D200" s="454"/>
      <c r="E200" s="454"/>
      <c r="F200" s="452"/>
      <c r="G200" s="455"/>
      <c r="H200" s="455"/>
      <c r="I200" s="452"/>
      <c r="J200" s="452"/>
      <c r="K200" s="291">
        <f>tab_invoices[[#This Row],[Množstvo]]*tab_invoices[[#This Row],[Náklady na jednotku]]</f>
        <v>0</v>
      </c>
      <c r="L200" s="454"/>
      <c r="M200" s="292" t="str">
        <f>IF(ISBLANK(tab_invoices[[#This Row],['#]]),"",VLOOKUP(tab_invoices[[#This Row],['#]],tab_budget[['#]:[Rozpočtová položka]],2,FALSE))</f>
        <v/>
      </c>
      <c r="N200" s="457" t="str">
        <f>IF(ISBLANK(tab_invoices[[#This Row],['#]]),"",VLOOKUP(tab_invoices[[#This Row],['#]],tab_budget[['#]:[Typ výdavku]],7,FALSE))</f>
        <v/>
      </c>
      <c r="O200" s="457" t="str">
        <f>IF(ISBLANK(tab_invoices[[#This Row],['#]]),"",VLOOKUP(tab_invoices[[#This Row],['#]],tab_budget[['#]:[Rozpočtová položka]],8,FALSE))</f>
        <v/>
      </c>
      <c r="P200" s="457" t="str">
        <f>IF(ISBLANK(tab_invoices[[#This Row],['#]]),"",VLOOKUP(tab_invoices[[#This Row],['#]],tab_budget[['#]:[Rozpočtová kapitola]],9,FALSE))</f>
        <v/>
      </c>
      <c r="Q200" s="457" t="str">
        <f>IF(ISBLANK(tab_invoices[[#This Row],['#]]),"",VLOOKUP(tab_invoices[[#This Row],['#]],tab_budget[['#]:[Realizuje]],10,FALSE))</f>
        <v/>
      </c>
      <c r="R200" s="457"/>
      <c r="S200" s="457"/>
    </row>
    <row r="201" spans="1:19" s="307" customFormat="1" ht="10.199999999999999" x14ac:dyDescent="0.2">
      <c r="A201" s="451">
        <f t="shared" si="6"/>
        <v>192</v>
      </c>
      <c r="B201" s="452"/>
      <c r="C201" s="453"/>
      <c r="D201" s="454"/>
      <c r="E201" s="454"/>
      <c r="F201" s="452"/>
      <c r="G201" s="455"/>
      <c r="H201" s="455"/>
      <c r="I201" s="452"/>
      <c r="J201" s="452"/>
      <c r="K201" s="291">
        <f>tab_invoices[[#This Row],[Množstvo]]*tab_invoices[[#This Row],[Náklady na jednotku]]</f>
        <v>0</v>
      </c>
      <c r="L201" s="454"/>
      <c r="M201" s="292" t="str">
        <f>IF(ISBLANK(tab_invoices[[#This Row],['#]]),"",VLOOKUP(tab_invoices[[#This Row],['#]],tab_budget[['#]:[Rozpočtová položka]],2,FALSE))</f>
        <v/>
      </c>
      <c r="N201" s="457" t="str">
        <f>IF(ISBLANK(tab_invoices[[#This Row],['#]]),"",VLOOKUP(tab_invoices[[#This Row],['#]],tab_budget[['#]:[Typ výdavku]],7,FALSE))</f>
        <v/>
      </c>
      <c r="O201" s="457" t="str">
        <f>IF(ISBLANK(tab_invoices[[#This Row],['#]]),"",VLOOKUP(tab_invoices[[#This Row],['#]],tab_budget[['#]:[Rozpočtová položka]],8,FALSE))</f>
        <v/>
      </c>
      <c r="P201" s="457" t="str">
        <f>IF(ISBLANK(tab_invoices[[#This Row],['#]]),"",VLOOKUP(tab_invoices[[#This Row],['#]],tab_budget[['#]:[Rozpočtová kapitola]],9,FALSE))</f>
        <v/>
      </c>
      <c r="Q201" s="457" t="str">
        <f>IF(ISBLANK(tab_invoices[[#This Row],['#]]),"",VLOOKUP(tab_invoices[[#This Row],['#]],tab_budget[['#]:[Realizuje]],10,FALSE))</f>
        <v/>
      </c>
      <c r="R201" s="457"/>
      <c r="S201" s="457"/>
    </row>
    <row r="202" spans="1:19" s="307" customFormat="1" ht="10.199999999999999" x14ac:dyDescent="0.2">
      <c r="A202" s="451">
        <f t="shared" si="6"/>
        <v>193</v>
      </c>
      <c r="B202" s="452"/>
      <c r="C202" s="453"/>
      <c r="D202" s="454"/>
      <c r="E202" s="454"/>
      <c r="F202" s="452"/>
      <c r="G202" s="455"/>
      <c r="H202" s="455"/>
      <c r="I202" s="452"/>
      <c r="J202" s="452"/>
      <c r="K202" s="291">
        <f>tab_invoices[[#This Row],[Množstvo]]*tab_invoices[[#This Row],[Náklady na jednotku]]</f>
        <v>0</v>
      </c>
      <c r="L202" s="454"/>
      <c r="M202" s="292" t="str">
        <f>IF(ISBLANK(tab_invoices[[#This Row],['#]]),"",VLOOKUP(tab_invoices[[#This Row],['#]],tab_budget[['#]:[Rozpočtová položka]],2,FALSE))</f>
        <v/>
      </c>
      <c r="N202" s="457" t="str">
        <f>IF(ISBLANK(tab_invoices[[#This Row],['#]]),"",VLOOKUP(tab_invoices[[#This Row],['#]],tab_budget[['#]:[Typ výdavku]],7,FALSE))</f>
        <v/>
      </c>
      <c r="O202" s="457" t="str">
        <f>IF(ISBLANK(tab_invoices[[#This Row],['#]]),"",VLOOKUP(tab_invoices[[#This Row],['#]],tab_budget[['#]:[Rozpočtová položka]],8,FALSE))</f>
        <v/>
      </c>
      <c r="P202" s="457" t="str">
        <f>IF(ISBLANK(tab_invoices[[#This Row],['#]]),"",VLOOKUP(tab_invoices[[#This Row],['#]],tab_budget[['#]:[Rozpočtová kapitola]],9,FALSE))</f>
        <v/>
      </c>
      <c r="Q202" s="457" t="str">
        <f>IF(ISBLANK(tab_invoices[[#This Row],['#]]),"",VLOOKUP(tab_invoices[[#This Row],['#]],tab_budget[['#]:[Realizuje]],10,FALSE))</f>
        <v/>
      </c>
      <c r="R202" s="457"/>
      <c r="S202" s="457"/>
    </row>
    <row r="203" spans="1:19" s="307" customFormat="1" ht="10.199999999999999" x14ac:dyDescent="0.2">
      <c r="A203" s="451">
        <f t="shared" si="6"/>
        <v>194</v>
      </c>
      <c r="B203" s="452"/>
      <c r="C203" s="453"/>
      <c r="D203" s="454"/>
      <c r="E203" s="454"/>
      <c r="F203" s="452"/>
      <c r="G203" s="455"/>
      <c r="H203" s="455"/>
      <c r="I203" s="452"/>
      <c r="J203" s="452"/>
      <c r="K203" s="291">
        <f>tab_invoices[[#This Row],[Množstvo]]*tab_invoices[[#This Row],[Náklady na jednotku]]</f>
        <v>0</v>
      </c>
      <c r="L203" s="454"/>
      <c r="M203" s="292" t="str">
        <f>IF(ISBLANK(tab_invoices[[#This Row],['#]]),"",VLOOKUP(tab_invoices[[#This Row],['#]],tab_budget[['#]:[Rozpočtová položka]],2,FALSE))</f>
        <v/>
      </c>
      <c r="N203" s="457" t="str">
        <f>IF(ISBLANK(tab_invoices[[#This Row],['#]]),"",VLOOKUP(tab_invoices[[#This Row],['#]],tab_budget[['#]:[Typ výdavku]],7,FALSE))</f>
        <v/>
      </c>
      <c r="O203" s="457" t="str">
        <f>IF(ISBLANK(tab_invoices[[#This Row],['#]]),"",VLOOKUP(tab_invoices[[#This Row],['#]],tab_budget[['#]:[Rozpočtová položka]],8,FALSE))</f>
        <v/>
      </c>
      <c r="P203" s="457" t="str">
        <f>IF(ISBLANK(tab_invoices[[#This Row],['#]]),"",VLOOKUP(tab_invoices[[#This Row],['#]],tab_budget[['#]:[Rozpočtová kapitola]],9,FALSE))</f>
        <v/>
      </c>
      <c r="Q203" s="457" t="str">
        <f>IF(ISBLANK(tab_invoices[[#This Row],['#]]),"",VLOOKUP(tab_invoices[[#This Row],['#]],tab_budget[['#]:[Realizuje]],10,FALSE))</f>
        <v/>
      </c>
      <c r="R203" s="457"/>
      <c r="S203" s="457"/>
    </row>
    <row r="204" spans="1:19" s="307" customFormat="1" ht="10.199999999999999" x14ac:dyDescent="0.2">
      <c r="A204" s="451">
        <f t="shared" si="6"/>
        <v>195</v>
      </c>
      <c r="B204" s="452"/>
      <c r="C204" s="453"/>
      <c r="D204" s="454"/>
      <c r="E204" s="454"/>
      <c r="F204" s="452"/>
      <c r="G204" s="455"/>
      <c r="H204" s="455"/>
      <c r="I204" s="452"/>
      <c r="J204" s="452"/>
      <c r="K204" s="291">
        <f>tab_invoices[[#This Row],[Množstvo]]*tab_invoices[[#This Row],[Náklady na jednotku]]</f>
        <v>0</v>
      </c>
      <c r="L204" s="454"/>
      <c r="M204" s="292" t="str">
        <f>IF(ISBLANK(tab_invoices[[#This Row],['#]]),"",VLOOKUP(tab_invoices[[#This Row],['#]],tab_budget[['#]:[Rozpočtová položka]],2,FALSE))</f>
        <v/>
      </c>
      <c r="N204" s="457" t="str">
        <f>IF(ISBLANK(tab_invoices[[#This Row],['#]]),"",VLOOKUP(tab_invoices[[#This Row],['#]],tab_budget[['#]:[Typ výdavku]],7,FALSE))</f>
        <v/>
      </c>
      <c r="O204" s="457" t="str">
        <f>IF(ISBLANK(tab_invoices[[#This Row],['#]]),"",VLOOKUP(tab_invoices[[#This Row],['#]],tab_budget[['#]:[Rozpočtová položka]],8,FALSE))</f>
        <v/>
      </c>
      <c r="P204" s="457" t="str">
        <f>IF(ISBLANK(tab_invoices[[#This Row],['#]]),"",VLOOKUP(tab_invoices[[#This Row],['#]],tab_budget[['#]:[Rozpočtová kapitola]],9,FALSE))</f>
        <v/>
      </c>
      <c r="Q204" s="457" t="str">
        <f>IF(ISBLANK(tab_invoices[[#This Row],['#]]),"",VLOOKUP(tab_invoices[[#This Row],['#]],tab_budget[['#]:[Realizuje]],10,FALSE))</f>
        <v/>
      </c>
      <c r="R204" s="457"/>
      <c r="S204" s="457"/>
    </row>
    <row r="205" spans="1:19" s="307" customFormat="1" ht="10.199999999999999" x14ac:dyDescent="0.2">
      <c r="A205" s="451">
        <f t="shared" si="6"/>
        <v>196</v>
      </c>
      <c r="B205" s="452"/>
      <c r="C205" s="453"/>
      <c r="D205" s="454"/>
      <c r="E205" s="454"/>
      <c r="F205" s="452"/>
      <c r="G205" s="455"/>
      <c r="H205" s="455"/>
      <c r="I205" s="452"/>
      <c r="J205" s="452"/>
      <c r="K205" s="291">
        <f>tab_invoices[[#This Row],[Množstvo]]*tab_invoices[[#This Row],[Náklady na jednotku]]</f>
        <v>0</v>
      </c>
      <c r="L205" s="454"/>
      <c r="M205" s="292" t="str">
        <f>IF(ISBLANK(tab_invoices[[#This Row],['#]]),"",VLOOKUP(tab_invoices[[#This Row],['#]],tab_budget[['#]:[Rozpočtová položka]],2,FALSE))</f>
        <v/>
      </c>
      <c r="N205" s="457" t="str">
        <f>IF(ISBLANK(tab_invoices[[#This Row],['#]]),"",VLOOKUP(tab_invoices[[#This Row],['#]],tab_budget[['#]:[Typ výdavku]],7,FALSE))</f>
        <v/>
      </c>
      <c r="O205" s="457" t="str">
        <f>IF(ISBLANK(tab_invoices[[#This Row],['#]]),"",VLOOKUP(tab_invoices[[#This Row],['#]],tab_budget[['#]:[Rozpočtová položka]],8,FALSE))</f>
        <v/>
      </c>
      <c r="P205" s="457" t="str">
        <f>IF(ISBLANK(tab_invoices[[#This Row],['#]]),"",VLOOKUP(tab_invoices[[#This Row],['#]],tab_budget[['#]:[Rozpočtová kapitola]],9,FALSE))</f>
        <v/>
      </c>
      <c r="Q205" s="457" t="str">
        <f>IF(ISBLANK(tab_invoices[[#This Row],['#]]),"",VLOOKUP(tab_invoices[[#This Row],['#]],tab_budget[['#]:[Realizuje]],10,FALSE))</f>
        <v/>
      </c>
      <c r="R205" s="457"/>
      <c r="S205" s="457"/>
    </row>
    <row r="206" spans="1:19" s="307" customFormat="1" ht="10.199999999999999" x14ac:dyDescent="0.2">
      <c r="A206" s="451">
        <f t="shared" si="6"/>
        <v>197</v>
      </c>
      <c r="B206" s="452"/>
      <c r="C206" s="453"/>
      <c r="D206" s="454"/>
      <c r="E206" s="454"/>
      <c r="F206" s="452"/>
      <c r="G206" s="455"/>
      <c r="H206" s="455"/>
      <c r="I206" s="452"/>
      <c r="J206" s="452"/>
      <c r="K206" s="291">
        <f>tab_invoices[[#This Row],[Množstvo]]*tab_invoices[[#This Row],[Náklady na jednotku]]</f>
        <v>0</v>
      </c>
      <c r="L206" s="454"/>
      <c r="M206" s="292" t="str">
        <f>IF(ISBLANK(tab_invoices[[#This Row],['#]]),"",VLOOKUP(tab_invoices[[#This Row],['#]],tab_budget[['#]:[Rozpočtová položka]],2,FALSE))</f>
        <v/>
      </c>
      <c r="N206" s="457" t="str">
        <f>IF(ISBLANK(tab_invoices[[#This Row],['#]]),"",VLOOKUP(tab_invoices[[#This Row],['#]],tab_budget[['#]:[Typ výdavku]],7,FALSE))</f>
        <v/>
      </c>
      <c r="O206" s="457" t="str">
        <f>IF(ISBLANK(tab_invoices[[#This Row],['#]]),"",VLOOKUP(tab_invoices[[#This Row],['#]],tab_budget[['#]:[Rozpočtová položka]],8,FALSE))</f>
        <v/>
      </c>
      <c r="P206" s="457" t="str">
        <f>IF(ISBLANK(tab_invoices[[#This Row],['#]]),"",VLOOKUP(tab_invoices[[#This Row],['#]],tab_budget[['#]:[Rozpočtová kapitola]],9,FALSE))</f>
        <v/>
      </c>
      <c r="Q206" s="457" t="str">
        <f>IF(ISBLANK(tab_invoices[[#This Row],['#]]),"",VLOOKUP(tab_invoices[[#This Row],['#]],tab_budget[['#]:[Realizuje]],10,FALSE))</f>
        <v/>
      </c>
      <c r="R206" s="457"/>
      <c r="S206" s="457"/>
    </row>
    <row r="207" spans="1:19" s="307" customFormat="1" ht="10.199999999999999" x14ac:dyDescent="0.2">
      <c r="A207" s="451">
        <f t="shared" si="6"/>
        <v>198</v>
      </c>
      <c r="B207" s="452"/>
      <c r="C207" s="453"/>
      <c r="D207" s="454"/>
      <c r="E207" s="454"/>
      <c r="F207" s="452"/>
      <c r="G207" s="455"/>
      <c r="H207" s="455"/>
      <c r="I207" s="452"/>
      <c r="J207" s="452"/>
      <c r="K207" s="291">
        <f>tab_invoices[[#This Row],[Množstvo]]*tab_invoices[[#This Row],[Náklady na jednotku]]</f>
        <v>0</v>
      </c>
      <c r="L207" s="454"/>
      <c r="M207" s="292" t="str">
        <f>IF(ISBLANK(tab_invoices[[#This Row],['#]]),"",VLOOKUP(tab_invoices[[#This Row],['#]],tab_budget[['#]:[Rozpočtová položka]],2,FALSE))</f>
        <v/>
      </c>
      <c r="N207" s="457" t="str">
        <f>IF(ISBLANK(tab_invoices[[#This Row],['#]]),"",VLOOKUP(tab_invoices[[#This Row],['#]],tab_budget[['#]:[Typ výdavku]],7,FALSE))</f>
        <v/>
      </c>
      <c r="O207" s="457" t="str">
        <f>IF(ISBLANK(tab_invoices[[#This Row],['#]]),"",VLOOKUP(tab_invoices[[#This Row],['#]],tab_budget[['#]:[Rozpočtová položka]],8,FALSE))</f>
        <v/>
      </c>
      <c r="P207" s="457" t="str">
        <f>IF(ISBLANK(tab_invoices[[#This Row],['#]]),"",VLOOKUP(tab_invoices[[#This Row],['#]],tab_budget[['#]:[Rozpočtová kapitola]],9,FALSE))</f>
        <v/>
      </c>
      <c r="Q207" s="457" t="str">
        <f>IF(ISBLANK(tab_invoices[[#This Row],['#]]),"",VLOOKUP(tab_invoices[[#This Row],['#]],tab_budget[['#]:[Realizuje]],10,FALSE))</f>
        <v/>
      </c>
      <c r="R207" s="457"/>
      <c r="S207" s="457"/>
    </row>
    <row r="208" spans="1:19" s="307" customFormat="1" ht="10.199999999999999" x14ac:dyDescent="0.2">
      <c r="A208" s="451">
        <f t="shared" si="6"/>
        <v>199</v>
      </c>
      <c r="B208" s="452"/>
      <c r="C208" s="453"/>
      <c r="D208" s="454"/>
      <c r="E208" s="454"/>
      <c r="F208" s="452"/>
      <c r="G208" s="455"/>
      <c r="H208" s="455"/>
      <c r="I208" s="452"/>
      <c r="J208" s="452"/>
      <c r="K208" s="291">
        <f>tab_invoices[[#This Row],[Množstvo]]*tab_invoices[[#This Row],[Náklady na jednotku]]</f>
        <v>0</v>
      </c>
      <c r="L208" s="454"/>
      <c r="M208" s="292" t="str">
        <f>IF(ISBLANK(tab_invoices[[#This Row],['#]]),"",VLOOKUP(tab_invoices[[#This Row],['#]],tab_budget[['#]:[Rozpočtová položka]],2,FALSE))</f>
        <v/>
      </c>
      <c r="N208" s="457" t="str">
        <f>IF(ISBLANK(tab_invoices[[#This Row],['#]]),"",VLOOKUP(tab_invoices[[#This Row],['#]],tab_budget[['#]:[Typ výdavku]],7,FALSE))</f>
        <v/>
      </c>
      <c r="O208" s="457" t="str">
        <f>IF(ISBLANK(tab_invoices[[#This Row],['#]]),"",VLOOKUP(tab_invoices[[#This Row],['#]],tab_budget[['#]:[Rozpočtová položka]],8,FALSE))</f>
        <v/>
      </c>
      <c r="P208" s="457" t="str">
        <f>IF(ISBLANK(tab_invoices[[#This Row],['#]]),"",VLOOKUP(tab_invoices[[#This Row],['#]],tab_budget[['#]:[Rozpočtová kapitola]],9,FALSE))</f>
        <v/>
      </c>
      <c r="Q208" s="457" t="str">
        <f>IF(ISBLANK(tab_invoices[[#This Row],['#]]),"",VLOOKUP(tab_invoices[[#This Row],['#]],tab_budget[['#]:[Realizuje]],10,FALSE))</f>
        <v/>
      </c>
      <c r="R208" s="457"/>
      <c r="S208" s="457"/>
    </row>
    <row r="209" spans="1:19" s="307" customFormat="1" ht="10.199999999999999" x14ac:dyDescent="0.2">
      <c r="A209" s="451">
        <f t="shared" si="6"/>
        <v>200</v>
      </c>
      <c r="B209" s="452"/>
      <c r="C209" s="453"/>
      <c r="D209" s="454"/>
      <c r="E209" s="454"/>
      <c r="F209" s="452"/>
      <c r="G209" s="455"/>
      <c r="H209" s="455"/>
      <c r="I209" s="452"/>
      <c r="J209" s="452"/>
      <c r="K209" s="291">
        <f>tab_invoices[[#This Row],[Množstvo]]*tab_invoices[[#This Row],[Náklady na jednotku]]</f>
        <v>0</v>
      </c>
      <c r="L209" s="454"/>
      <c r="M209" s="292" t="str">
        <f>IF(ISBLANK(tab_invoices[[#This Row],['#]]),"",VLOOKUP(tab_invoices[[#This Row],['#]],tab_budget[['#]:[Rozpočtová položka]],2,FALSE))</f>
        <v/>
      </c>
      <c r="N209" s="457" t="str">
        <f>IF(ISBLANK(tab_invoices[[#This Row],['#]]),"",VLOOKUP(tab_invoices[[#This Row],['#]],tab_budget[['#]:[Typ výdavku]],7,FALSE))</f>
        <v/>
      </c>
      <c r="O209" s="457" t="str">
        <f>IF(ISBLANK(tab_invoices[[#This Row],['#]]),"",VLOOKUP(tab_invoices[[#This Row],['#]],tab_budget[['#]:[Rozpočtová položka]],8,FALSE))</f>
        <v/>
      </c>
      <c r="P209" s="457" t="str">
        <f>IF(ISBLANK(tab_invoices[[#This Row],['#]]),"",VLOOKUP(tab_invoices[[#This Row],['#]],tab_budget[['#]:[Rozpočtová kapitola]],9,FALSE))</f>
        <v/>
      </c>
      <c r="Q209" s="457" t="str">
        <f>IF(ISBLANK(tab_invoices[[#This Row],['#]]),"",VLOOKUP(tab_invoices[[#This Row],['#]],tab_budget[['#]:[Realizuje]],10,FALSE))</f>
        <v/>
      </c>
      <c r="R209" s="457"/>
      <c r="S209" s="457"/>
    </row>
    <row r="210" spans="1:19" s="307" customFormat="1" ht="10.199999999999999" x14ac:dyDescent="0.2">
      <c r="A210" s="451">
        <f t="shared" si="6"/>
        <v>201</v>
      </c>
      <c r="B210" s="452"/>
      <c r="C210" s="453"/>
      <c r="D210" s="454"/>
      <c r="E210" s="454"/>
      <c r="F210" s="452"/>
      <c r="G210" s="455"/>
      <c r="H210" s="455"/>
      <c r="I210" s="452"/>
      <c r="J210" s="452"/>
      <c r="K210" s="291">
        <f>tab_invoices[[#This Row],[Množstvo]]*tab_invoices[[#This Row],[Náklady na jednotku]]</f>
        <v>0</v>
      </c>
      <c r="L210" s="454"/>
      <c r="M210" s="292" t="str">
        <f>IF(ISBLANK(tab_invoices[[#This Row],['#]]),"",VLOOKUP(tab_invoices[[#This Row],['#]],tab_budget[['#]:[Rozpočtová položka]],2,FALSE))</f>
        <v/>
      </c>
      <c r="N210" s="457" t="str">
        <f>IF(ISBLANK(tab_invoices[[#This Row],['#]]),"",VLOOKUP(tab_invoices[[#This Row],['#]],tab_budget[['#]:[Typ výdavku]],7,FALSE))</f>
        <v/>
      </c>
      <c r="O210" s="457" t="str">
        <f>IF(ISBLANK(tab_invoices[[#This Row],['#]]),"",VLOOKUP(tab_invoices[[#This Row],['#]],tab_budget[['#]:[Rozpočtová položka]],8,FALSE))</f>
        <v/>
      </c>
      <c r="P210" s="457" t="str">
        <f>IF(ISBLANK(tab_invoices[[#This Row],['#]]),"",VLOOKUP(tab_invoices[[#This Row],['#]],tab_budget[['#]:[Rozpočtová kapitola]],9,FALSE))</f>
        <v/>
      </c>
      <c r="Q210" s="457" t="str">
        <f>IF(ISBLANK(tab_invoices[[#This Row],['#]]),"",VLOOKUP(tab_invoices[[#This Row],['#]],tab_budget[['#]:[Realizuje]],10,FALSE))</f>
        <v/>
      </c>
      <c r="R210" s="457"/>
      <c r="S210" s="457"/>
    </row>
    <row r="211" spans="1:19" s="307" customFormat="1" ht="10.199999999999999" x14ac:dyDescent="0.2">
      <c r="A211" s="451">
        <f t="shared" ref="A211:A242" si="7">ROW(B211)-9</f>
        <v>202</v>
      </c>
      <c r="B211" s="452"/>
      <c r="C211" s="453"/>
      <c r="D211" s="454"/>
      <c r="E211" s="454"/>
      <c r="F211" s="452"/>
      <c r="G211" s="455"/>
      <c r="H211" s="455"/>
      <c r="I211" s="452"/>
      <c r="J211" s="452"/>
      <c r="K211" s="291">
        <f>tab_invoices[[#This Row],[Množstvo]]*tab_invoices[[#This Row],[Náklady na jednotku]]</f>
        <v>0</v>
      </c>
      <c r="L211" s="454"/>
      <c r="M211" s="292" t="str">
        <f>IF(ISBLANK(tab_invoices[[#This Row],['#]]),"",VLOOKUP(tab_invoices[[#This Row],['#]],tab_budget[['#]:[Rozpočtová položka]],2,FALSE))</f>
        <v/>
      </c>
      <c r="N211" s="457" t="str">
        <f>IF(ISBLANK(tab_invoices[[#This Row],['#]]),"",VLOOKUP(tab_invoices[[#This Row],['#]],tab_budget[['#]:[Typ výdavku]],7,FALSE))</f>
        <v/>
      </c>
      <c r="O211" s="457" t="str">
        <f>IF(ISBLANK(tab_invoices[[#This Row],['#]]),"",VLOOKUP(tab_invoices[[#This Row],['#]],tab_budget[['#]:[Rozpočtová položka]],8,FALSE))</f>
        <v/>
      </c>
      <c r="P211" s="457" t="str">
        <f>IF(ISBLANK(tab_invoices[[#This Row],['#]]),"",VLOOKUP(tab_invoices[[#This Row],['#]],tab_budget[['#]:[Rozpočtová kapitola]],9,FALSE))</f>
        <v/>
      </c>
      <c r="Q211" s="457" t="str">
        <f>IF(ISBLANK(tab_invoices[[#This Row],['#]]),"",VLOOKUP(tab_invoices[[#This Row],['#]],tab_budget[['#]:[Realizuje]],10,FALSE))</f>
        <v/>
      </c>
      <c r="R211" s="457"/>
      <c r="S211" s="457"/>
    </row>
    <row r="212" spans="1:19" s="307" customFormat="1" ht="10.199999999999999" x14ac:dyDescent="0.2">
      <c r="A212" s="451">
        <f t="shared" si="7"/>
        <v>203</v>
      </c>
      <c r="B212" s="452"/>
      <c r="C212" s="453"/>
      <c r="D212" s="454"/>
      <c r="E212" s="454"/>
      <c r="F212" s="452"/>
      <c r="G212" s="455"/>
      <c r="H212" s="455"/>
      <c r="I212" s="452"/>
      <c r="J212" s="452"/>
      <c r="K212" s="291">
        <f>tab_invoices[[#This Row],[Množstvo]]*tab_invoices[[#This Row],[Náklady na jednotku]]</f>
        <v>0</v>
      </c>
      <c r="L212" s="454"/>
      <c r="M212" s="292" t="str">
        <f>IF(ISBLANK(tab_invoices[[#This Row],['#]]),"",VLOOKUP(tab_invoices[[#This Row],['#]],tab_budget[['#]:[Rozpočtová položka]],2,FALSE))</f>
        <v/>
      </c>
      <c r="N212" s="457" t="str">
        <f>IF(ISBLANK(tab_invoices[[#This Row],['#]]),"",VLOOKUP(tab_invoices[[#This Row],['#]],tab_budget[['#]:[Typ výdavku]],7,FALSE))</f>
        <v/>
      </c>
      <c r="O212" s="457" t="str">
        <f>IF(ISBLANK(tab_invoices[[#This Row],['#]]),"",VLOOKUP(tab_invoices[[#This Row],['#]],tab_budget[['#]:[Rozpočtová položka]],8,FALSE))</f>
        <v/>
      </c>
      <c r="P212" s="457" t="str">
        <f>IF(ISBLANK(tab_invoices[[#This Row],['#]]),"",VLOOKUP(tab_invoices[[#This Row],['#]],tab_budget[['#]:[Rozpočtová kapitola]],9,FALSE))</f>
        <v/>
      </c>
      <c r="Q212" s="457" t="str">
        <f>IF(ISBLANK(tab_invoices[[#This Row],['#]]),"",VLOOKUP(tab_invoices[[#This Row],['#]],tab_budget[['#]:[Realizuje]],10,FALSE))</f>
        <v/>
      </c>
      <c r="R212" s="457"/>
      <c r="S212" s="457"/>
    </row>
    <row r="213" spans="1:19" s="307" customFormat="1" ht="10.199999999999999" x14ac:dyDescent="0.2">
      <c r="A213" s="451">
        <f t="shared" si="7"/>
        <v>204</v>
      </c>
      <c r="B213" s="452"/>
      <c r="C213" s="453"/>
      <c r="D213" s="454"/>
      <c r="E213" s="454"/>
      <c r="F213" s="452"/>
      <c r="G213" s="455"/>
      <c r="H213" s="455"/>
      <c r="I213" s="452"/>
      <c r="J213" s="452"/>
      <c r="K213" s="291">
        <f>tab_invoices[[#This Row],[Množstvo]]*tab_invoices[[#This Row],[Náklady na jednotku]]</f>
        <v>0</v>
      </c>
      <c r="L213" s="454"/>
      <c r="M213" s="292" t="str">
        <f>IF(ISBLANK(tab_invoices[[#This Row],['#]]),"",VLOOKUP(tab_invoices[[#This Row],['#]],tab_budget[['#]:[Rozpočtová položka]],2,FALSE))</f>
        <v/>
      </c>
      <c r="N213" s="457" t="str">
        <f>IF(ISBLANK(tab_invoices[[#This Row],['#]]),"",VLOOKUP(tab_invoices[[#This Row],['#]],tab_budget[['#]:[Typ výdavku]],7,FALSE))</f>
        <v/>
      </c>
      <c r="O213" s="457" t="str">
        <f>IF(ISBLANK(tab_invoices[[#This Row],['#]]),"",VLOOKUP(tab_invoices[[#This Row],['#]],tab_budget[['#]:[Rozpočtová položka]],8,FALSE))</f>
        <v/>
      </c>
      <c r="P213" s="457" t="str">
        <f>IF(ISBLANK(tab_invoices[[#This Row],['#]]),"",VLOOKUP(tab_invoices[[#This Row],['#]],tab_budget[['#]:[Rozpočtová kapitola]],9,FALSE))</f>
        <v/>
      </c>
      <c r="Q213" s="457" t="str">
        <f>IF(ISBLANK(tab_invoices[[#This Row],['#]]),"",VLOOKUP(tab_invoices[[#This Row],['#]],tab_budget[['#]:[Realizuje]],10,FALSE))</f>
        <v/>
      </c>
      <c r="R213" s="457"/>
      <c r="S213" s="457"/>
    </row>
    <row r="214" spans="1:19" s="307" customFormat="1" ht="10.199999999999999" x14ac:dyDescent="0.2">
      <c r="A214" s="451">
        <f t="shared" si="7"/>
        <v>205</v>
      </c>
      <c r="B214" s="452"/>
      <c r="C214" s="453"/>
      <c r="D214" s="454"/>
      <c r="E214" s="454"/>
      <c r="F214" s="452"/>
      <c r="G214" s="455"/>
      <c r="H214" s="455"/>
      <c r="I214" s="452"/>
      <c r="J214" s="452"/>
      <c r="K214" s="291">
        <f>tab_invoices[[#This Row],[Množstvo]]*tab_invoices[[#This Row],[Náklady na jednotku]]</f>
        <v>0</v>
      </c>
      <c r="L214" s="454"/>
      <c r="M214" s="292" t="str">
        <f>IF(ISBLANK(tab_invoices[[#This Row],['#]]),"",VLOOKUP(tab_invoices[[#This Row],['#]],tab_budget[['#]:[Rozpočtová položka]],2,FALSE))</f>
        <v/>
      </c>
      <c r="N214" s="457" t="str">
        <f>IF(ISBLANK(tab_invoices[[#This Row],['#]]),"",VLOOKUP(tab_invoices[[#This Row],['#]],tab_budget[['#]:[Typ výdavku]],7,FALSE))</f>
        <v/>
      </c>
      <c r="O214" s="457" t="str">
        <f>IF(ISBLANK(tab_invoices[[#This Row],['#]]),"",VLOOKUP(tab_invoices[[#This Row],['#]],tab_budget[['#]:[Rozpočtová položka]],8,FALSE))</f>
        <v/>
      </c>
      <c r="P214" s="457" t="str">
        <f>IF(ISBLANK(tab_invoices[[#This Row],['#]]),"",VLOOKUP(tab_invoices[[#This Row],['#]],tab_budget[['#]:[Rozpočtová kapitola]],9,FALSE))</f>
        <v/>
      </c>
      <c r="Q214" s="457" t="str">
        <f>IF(ISBLANK(tab_invoices[[#This Row],['#]]),"",VLOOKUP(tab_invoices[[#This Row],['#]],tab_budget[['#]:[Realizuje]],10,FALSE))</f>
        <v/>
      </c>
      <c r="R214" s="457"/>
      <c r="S214" s="457"/>
    </row>
    <row r="215" spans="1:19" s="307" customFormat="1" ht="10.199999999999999" x14ac:dyDescent="0.2">
      <c r="A215" s="451">
        <f t="shared" si="7"/>
        <v>206</v>
      </c>
      <c r="B215" s="452"/>
      <c r="C215" s="453"/>
      <c r="D215" s="454"/>
      <c r="E215" s="454"/>
      <c r="F215" s="452"/>
      <c r="G215" s="455"/>
      <c r="H215" s="455"/>
      <c r="I215" s="452"/>
      <c r="J215" s="452"/>
      <c r="K215" s="291">
        <f>tab_invoices[[#This Row],[Množstvo]]*tab_invoices[[#This Row],[Náklady na jednotku]]</f>
        <v>0</v>
      </c>
      <c r="L215" s="454"/>
      <c r="M215" s="292" t="str">
        <f>IF(ISBLANK(tab_invoices[[#This Row],['#]]),"",VLOOKUP(tab_invoices[[#This Row],['#]],tab_budget[['#]:[Rozpočtová položka]],2,FALSE))</f>
        <v/>
      </c>
      <c r="N215" s="457" t="str">
        <f>IF(ISBLANK(tab_invoices[[#This Row],['#]]),"",VLOOKUP(tab_invoices[[#This Row],['#]],tab_budget[['#]:[Typ výdavku]],7,FALSE))</f>
        <v/>
      </c>
      <c r="O215" s="457" t="str">
        <f>IF(ISBLANK(tab_invoices[[#This Row],['#]]),"",VLOOKUP(tab_invoices[[#This Row],['#]],tab_budget[['#]:[Rozpočtová položka]],8,FALSE))</f>
        <v/>
      </c>
      <c r="P215" s="457" t="str">
        <f>IF(ISBLANK(tab_invoices[[#This Row],['#]]),"",VLOOKUP(tab_invoices[[#This Row],['#]],tab_budget[['#]:[Rozpočtová kapitola]],9,FALSE))</f>
        <v/>
      </c>
      <c r="Q215" s="457" t="str">
        <f>IF(ISBLANK(tab_invoices[[#This Row],['#]]),"",VLOOKUP(tab_invoices[[#This Row],['#]],tab_budget[['#]:[Realizuje]],10,FALSE))</f>
        <v/>
      </c>
      <c r="R215" s="457"/>
      <c r="S215" s="457"/>
    </row>
    <row r="216" spans="1:19" s="307" customFormat="1" ht="10.199999999999999" x14ac:dyDescent="0.2">
      <c r="A216" s="451">
        <f t="shared" si="7"/>
        <v>207</v>
      </c>
      <c r="B216" s="452"/>
      <c r="C216" s="453"/>
      <c r="D216" s="454"/>
      <c r="E216" s="454"/>
      <c r="F216" s="452"/>
      <c r="G216" s="455"/>
      <c r="H216" s="455"/>
      <c r="I216" s="452"/>
      <c r="J216" s="452"/>
      <c r="K216" s="291">
        <f>tab_invoices[[#This Row],[Množstvo]]*tab_invoices[[#This Row],[Náklady na jednotku]]</f>
        <v>0</v>
      </c>
      <c r="L216" s="454"/>
      <c r="M216" s="292" t="str">
        <f>IF(ISBLANK(tab_invoices[[#This Row],['#]]),"",VLOOKUP(tab_invoices[[#This Row],['#]],tab_budget[['#]:[Rozpočtová položka]],2,FALSE))</f>
        <v/>
      </c>
      <c r="N216" s="457" t="str">
        <f>IF(ISBLANK(tab_invoices[[#This Row],['#]]),"",VLOOKUP(tab_invoices[[#This Row],['#]],tab_budget[['#]:[Typ výdavku]],7,FALSE))</f>
        <v/>
      </c>
      <c r="O216" s="457" t="str">
        <f>IF(ISBLANK(tab_invoices[[#This Row],['#]]),"",VLOOKUP(tab_invoices[[#This Row],['#]],tab_budget[['#]:[Rozpočtová položka]],8,FALSE))</f>
        <v/>
      </c>
      <c r="P216" s="457" t="str">
        <f>IF(ISBLANK(tab_invoices[[#This Row],['#]]),"",VLOOKUP(tab_invoices[[#This Row],['#]],tab_budget[['#]:[Rozpočtová kapitola]],9,FALSE))</f>
        <v/>
      </c>
      <c r="Q216" s="457" t="str">
        <f>IF(ISBLANK(tab_invoices[[#This Row],['#]]),"",VLOOKUP(tab_invoices[[#This Row],['#]],tab_budget[['#]:[Realizuje]],10,FALSE))</f>
        <v/>
      </c>
      <c r="R216" s="457"/>
      <c r="S216" s="457"/>
    </row>
    <row r="217" spans="1:19" s="307" customFormat="1" ht="10.199999999999999" x14ac:dyDescent="0.2">
      <c r="A217" s="451">
        <f t="shared" si="7"/>
        <v>208</v>
      </c>
      <c r="B217" s="452"/>
      <c r="C217" s="453"/>
      <c r="D217" s="454"/>
      <c r="E217" s="454"/>
      <c r="F217" s="452"/>
      <c r="G217" s="455"/>
      <c r="H217" s="455"/>
      <c r="I217" s="452"/>
      <c r="J217" s="452"/>
      <c r="K217" s="291">
        <f>tab_invoices[[#This Row],[Množstvo]]*tab_invoices[[#This Row],[Náklady na jednotku]]</f>
        <v>0</v>
      </c>
      <c r="L217" s="454"/>
      <c r="M217" s="292" t="str">
        <f>IF(ISBLANK(tab_invoices[[#This Row],['#]]),"",VLOOKUP(tab_invoices[[#This Row],['#]],tab_budget[['#]:[Rozpočtová položka]],2,FALSE))</f>
        <v/>
      </c>
      <c r="N217" s="457" t="str">
        <f>IF(ISBLANK(tab_invoices[[#This Row],['#]]),"",VLOOKUP(tab_invoices[[#This Row],['#]],tab_budget[['#]:[Typ výdavku]],7,FALSE))</f>
        <v/>
      </c>
      <c r="O217" s="457" t="str">
        <f>IF(ISBLANK(tab_invoices[[#This Row],['#]]),"",VLOOKUP(tab_invoices[[#This Row],['#]],tab_budget[['#]:[Rozpočtová položka]],8,FALSE))</f>
        <v/>
      </c>
      <c r="P217" s="457" t="str">
        <f>IF(ISBLANK(tab_invoices[[#This Row],['#]]),"",VLOOKUP(tab_invoices[[#This Row],['#]],tab_budget[['#]:[Rozpočtová kapitola]],9,FALSE))</f>
        <v/>
      </c>
      <c r="Q217" s="457" t="str">
        <f>IF(ISBLANK(tab_invoices[[#This Row],['#]]),"",VLOOKUP(tab_invoices[[#This Row],['#]],tab_budget[['#]:[Realizuje]],10,FALSE))</f>
        <v/>
      </c>
      <c r="R217" s="457"/>
      <c r="S217" s="457"/>
    </row>
    <row r="218" spans="1:19" s="307" customFormat="1" ht="10.199999999999999" x14ac:dyDescent="0.2">
      <c r="A218" s="451">
        <f t="shared" si="7"/>
        <v>209</v>
      </c>
      <c r="B218" s="452"/>
      <c r="C218" s="453"/>
      <c r="D218" s="454"/>
      <c r="E218" s="454"/>
      <c r="F218" s="452"/>
      <c r="G218" s="455"/>
      <c r="H218" s="455"/>
      <c r="I218" s="452"/>
      <c r="J218" s="452"/>
      <c r="K218" s="291">
        <f>tab_invoices[[#This Row],[Množstvo]]*tab_invoices[[#This Row],[Náklady na jednotku]]</f>
        <v>0</v>
      </c>
      <c r="L218" s="454"/>
      <c r="M218" s="292" t="str">
        <f>IF(ISBLANK(tab_invoices[[#This Row],['#]]),"",VLOOKUP(tab_invoices[[#This Row],['#]],tab_budget[['#]:[Rozpočtová položka]],2,FALSE))</f>
        <v/>
      </c>
      <c r="N218" s="457" t="str">
        <f>IF(ISBLANK(tab_invoices[[#This Row],['#]]),"",VLOOKUP(tab_invoices[[#This Row],['#]],tab_budget[['#]:[Typ výdavku]],7,FALSE))</f>
        <v/>
      </c>
      <c r="O218" s="457" t="str">
        <f>IF(ISBLANK(tab_invoices[[#This Row],['#]]),"",VLOOKUP(tab_invoices[[#This Row],['#]],tab_budget[['#]:[Rozpočtová položka]],8,FALSE))</f>
        <v/>
      </c>
      <c r="P218" s="457" t="str">
        <f>IF(ISBLANK(tab_invoices[[#This Row],['#]]),"",VLOOKUP(tab_invoices[[#This Row],['#]],tab_budget[['#]:[Rozpočtová kapitola]],9,FALSE))</f>
        <v/>
      </c>
      <c r="Q218" s="457" t="str">
        <f>IF(ISBLANK(tab_invoices[[#This Row],['#]]),"",VLOOKUP(tab_invoices[[#This Row],['#]],tab_budget[['#]:[Realizuje]],10,FALSE))</f>
        <v/>
      </c>
      <c r="R218" s="457"/>
      <c r="S218" s="457"/>
    </row>
    <row r="219" spans="1:19" s="307" customFormat="1" ht="10.199999999999999" x14ac:dyDescent="0.2">
      <c r="A219" s="451">
        <f t="shared" si="7"/>
        <v>210</v>
      </c>
      <c r="B219" s="452"/>
      <c r="C219" s="453"/>
      <c r="D219" s="454"/>
      <c r="E219" s="454"/>
      <c r="F219" s="452"/>
      <c r="G219" s="455"/>
      <c r="H219" s="455"/>
      <c r="I219" s="452"/>
      <c r="J219" s="452"/>
      <c r="K219" s="291">
        <f>tab_invoices[[#This Row],[Množstvo]]*tab_invoices[[#This Row],[Náklady na jednotku]]</f>
        <v>0</v>
      </c>
      <c r="L219" s="454"/>
      <c r="M219" s="292" t="str">
        <f>IF(ISBLANK(tab_invoices[[#This Row],['#]]),"",VLOOKUP(tab_invoices[[#This Row],['#]],tab_budget[['#]:[Rozpočtová položka]],2,FALSE))</f>
        <v/>
      </c>
      <c r="N219" s="457" t="str">
        <f>IF(ISBLANK(tab_invoices[[#This Row],['#]]),"",VLOOKUP(tab_invoices[[#This Row],['#]],tab_budget[['#]:[Typ výdavku]],7,FALSE))</f>
        <v/>
      </c>
      <c r="O219" s="457" t="str">
        <f>IF(ISBLANK(tab_invoices[[#This Row],['#]]),"",VLOOKUP(tab_invoices[[#This Row],['#]],tab_budget[['#]:[Rozpočtová položka]],8,FALSE))</f>
        <v/>
      </c>
      <c r="P219" s="457" t="str">
        <f>IF(ISBLANK(tab_invoices[[#This Row],['#]]),"",VLOOKUP(tab_invoices[[#This Row],['#]],tab_budget[['#]:[Rozpočtová kapitola]],9,FALSE))</f>
        <v/>
      </c>
      <c r="Q219" s="457" t="str">
        <f>IF(ISBLANK(tab_invoices[[#This Row],['#]]),"",VLOOKUP(tab_invoices[[#This Row],['#]],tab_budget[['#]:[Realizuje]],10,FALSE))</f>
        <v/>
      </c>
      <c r="R219" s="457"/>
      <c r="S219" s="457"/>
    </row>
    <row r="220" spans="1:19" s="307" customFormat="1" ht="10.199999999999999" x14ac:dyDescent="0.2">
      <c r="A220" s="451">
        <f t="shared" si="7"/>
        <v>211</v>
      </c>
      <c r="B220" s="452"/>
      <c r="C220" s="453"/>
      <c r="D220" s="454"/>
      <c r="E220" s="454"/>
      <c r="F220" s="452"/>
      <c r="G220" s="455"/>
      <c r="H220" s="455"/>
      <c r="I220" s="452"/>
      <c r="J220" s="452"/>
      <c r="K220" s="291">
        <f>tab_invoices[[#This Row],[Množstvo]]*tab_invoices[[#This Row],[Náklady na jednotku]]</f>
        <v>0</v>
      </c>
      <c r="L220" s="454"/>
      <c r="M220" s="292" t="str">
        <f>IF(ISBLANK(tab_invoices[[#This Row],['#]]),"",VLOOKUP(tab_invoices[[#This Row],['#]],tab_budget[['#]:[Rozpočtová položka]],2,FALSE))</f>
        <v/>
      </c>
      <c r="N220" s="457" t="str">
        <f>IF(ISBLANK(tab_invoices[[#This Row],['#]]),"",VLOOKUP(tab_invoices[[#This Row],['#]],tab_budget[['#]:[Typ výdavku]],7,FALSE))</f>
        <v/>
      </c>
      <c r="O220" s="457" t="str">
        <f>IF(ISBLANK(tab_invoices[[#This Row],['#]]),"",VLOOKUP(tab_invoices[[#This Row],['#]],tab_budget[['#]:[Rozpočtová položka]],8,FALSE))</f>
        <v/>
      </c>
      <c r="P220" s="457" t="str">
        <f>IF(ISBLANK(tab_invoices[[#This Row],['#]]),"",VLOOKUP(tab_invoices[[#This Row],['#]],tab_budget[['#]:[Rozpočtová kapitola]],9,FALSE))</f>
        <v/>
      </c>
      <c r="Q220" s="457" t="str">
        <f>IF(ISBLANK(tab_invoices[[#This Row],['#]]),"",VLOOKUP(tab_invoices[[#This Row],['#]],tab_budget[['#]:[Realizuje]],10,FALSE))</f>
        <v/>
      </c>
      <c r="R220" s="457"/>
      <c r="S220" s="457"/>
    </row>
    <row r="221" spans="1:19" s="307" customFormat="1" ht="10.199999999999999" x14ac:dyDescent="0.2">
      <c r="A221" s="451">
        <f t="shared" si="7"/>
        <v>212</v>
      </c>
      <c r="B221" s="452"/>
      <c r="C221" s="453"/>
      <c r="D221" s="454"/>
      <c r="E221" s="454"/>
      <c r="F221" s="452"/>
      <c r="G221" s="455"/>
      <c r="H221" s="455"/>
      <c r="I221" s="452"/>
      <c r="J221" s="452"/>
      <c r="K221" s="291">
        <f>tab_invoices[[#This Row],[Množstvo]]*tab_invoices[[#This Row],[Náklady na jednotku]]</f>
        <v>0</v>
      </c>
      <c r="L221" s="454"/>
      <c r="M221" s="292" t="str">
        <f>IF(ISBLANK(tab_invoices[[#This Row],['#]]),"",VLOOKUP(tab_invoices[[#This Row],['#]],tab_budget[['#]:[Rozpočtová položka]],2,FALSE))</f>
        <v/>
      </c>
      <c r="N221" s="457" t="str">
        <f>IF(ISBLANK(tab_invoices[[#This Row],['#]]),"",VLOOKUP(tab_invoices[[#This Row],['#]],tab_budget[['#]:[Typ výdavku]],7,FALSE))</f>
        <v/>
      </c>
      <c r="O221" s="457" t="str">
        <f>IF(ISBLANK(tab_invoices[[#This Row],['#]]),"",VLOOKUP(tab_invoices[[#This Row],['#]],tab_budget[['#]:[Rozpočtová položka]],8,FALSE))</f>
        <v/>
      </c>
      <c r="P221" s="457" t="str">
        <f>IF(ISBLANK(tab_invoices[[#This Row],['#]]),"",VLOOKUP(tab_invoices[[#This Row],['#]],tab_budget[['#]:[Rozpočtová kapitola]],9,FALSE))</f>
        <v/>
      </c>
      <c r="Q221" s="457" t="str">
        <f>IF(ISBLANK(tab_invoices[[#This Row],['#]]),"",VLOOKUP(tab_invoices[[#This Row],['#]],tab_budget[['#]:[Realizuje]],10,FALSE))</f>
        <v/>
      </c>
      <c r="R221" s="457"/>
      <c r="S221" s="457"/>
    </row>
    <row r="222" spans="1:19" s="307" customFormat="1" ht="10.199999999999999" x14ac:dyDescent="0.2">
      <c r="A222" s="451">
        <f t="shared" si="7"/>
        <v>213</v>
      </c>
      <c r="B222" s="452"/>
      <c r="C222" s="453"/>
      <c r="D222" s="454"/>
      <c r="E222" s="454"/>
      <c r="F222" s="452"/>
      <c r="G222" s="455"/>
      <c r="H222" s="455"/>
      <c r="I222" s="452"/>
      <c r="J222" s="452"/>
      <c r="K222" s="291">
        <f>tab_invoices[[#This Row],[Množstvo]]*tab_invoices[[#This Row],[Náklady na jednotku]]</f>
        <v>0</v>
      </c>
      <c r="L222" s="454"/>
      <c r="M222" s="292" t="str">
        <f>IF(ISBLANK(tab_invoices[[#This Row],['#]]),"",VLOOKUP(tab_invoices[[#This Row],['#]],tab_budget[['#]:[Rozpočtová položka]],2,FALSE))</f>
        <v/>
      </c>
      <c r="N222" s="457" t="str">
        <f>IF(ISBLANK(tab_invoices[[#This Row],['#]]),"",VLOOKUP(tab_invoices[[#This Row],['#]],tab_budget[['#]:[Typ výdavku]],7,FALSE))</f>
        <v/>
      </c>
      <c r="O222" s="457" t="str">
        <f>IF(ISBLANK(tab_invoices[[#This Row],['#]]),"",VLOOKUP(tab_invoices[[#This Row],['#]],tab_budget[['#]:[Rozpočtová položka]],8,FALSE))</f>
        <v/>
      </c>
      <c r="P222" s="457" t="str">
        <f>IF(ISBLANK(tab_invoices[[#This Row],['#]]),"",VLOOKUP(tab_invoices[[#This Row],['#]],tab_budget[['#]:[Rozpočtová kapitola]],9,FALSE))</f>
        <v/>
      </c>
      <c r="Q222" s="457" t="str">
        <f>IF(ISBLANK(tab_invoices[[#This Row],['#]]),"",VLOOKUP(tab_invoices[[#This Row],['#]],tab_budget[['#]:[Realizuje]],10,FALSE))</f>
        <v/>
      </c>
      <c r="R222" s="457"/>
      <c r="S222" s="457"/>
    </row>
    <row r="223" spans="1:19" s="307" customFormat="1" ht="10.199999999999999" x14ac:dyDescent="0.2">
      <c r="A223" s="451">
        <f t="shared" si="7"/>
        <v>214</v>
      </c>
      <c r="B223" s="452"/>
      <c r="C223" s="453"/>
      <c r="D223" s="454"/>
      <c r="E223" s="454"/>
      <c r="F223" s="452"/>
      <c r="G223" s="455"/>
      <c r="H223" s="455"/>
      <c r="I223" s="452"/>
      <c r="J223" s="452"/>
      <c r="K223" s="291">
        <f>tab_invoices[[#This Row],[Množstvo]]*tab_invoices[[#This Row],[Náklady na jednotku]]</f>
        <v>0</v>
      </c>
      <c r="L223" s="454"/>
      <c r="M223" s="292" t="str">
        <f>IF(ISBLANK(tab_invoices[[#This Row],['#]]),"",VLOOKUP(tab_invoices[[#This Row],['#]],tab_budget[['#]:[Rozpočtová položka]],2,FALSE))</f>
        <v/>
      </c>
      <c r="N223" s="457" t="str">
        <f>IF(ISBLANK(tab_invoices[[#This Row],['#]]),"",VLOOKUP(tab_invoices[[#This Row],['#]],tab_budget[['#]:[Typ výdavku]],7,FALSE))</f>
        <v/>
      </c>
      <c r="O223" s="457" t="str">
        <f>IF(ISBLANK(tab_invoices[[#This Row],['#]]),"",VLOOKUP(tab_invoices[[#This Row],['#]],tab_budget[['#]:[Rozpočtová položka]],8,FALSE))</f>
        <v/>
      </c>
      <c r="P223" s="457" t="str">
        <f>IF(ISBLANK(tab_invoices[[#This Row],['#]]),"",VLOOKUP(tab_invoices[[#This Row],['#]],tab_budget[['#]:[Rozpočtová kapitola]],9,FALSE))</f>
        <v/>
      </c>
      <c r="Q223" s="457" t="str">
        <f>IF(ISBLANK(tab_invoices[[#This Row],['#]]),"",VLOOKUP(tab_invoices[[#This Row],['#]],tab_budget[['#]:[Realizuje]],10,FALSE))</f>
        <v/>
      </c>
      <c r="R223" s="457"/>
      <c r="S223" s="457"/>
    </row>
    <row r="224" spans="1:19" s="307" customFormat="1" ht="10.199999999999999" x14ac:dyDescent="0.2">
      <c r="A224" s="451">
        <f t="shared" si="7"/>
        <v>215</v>
      </c>
      <c r="B224" s="452"/>
      <c r="C224" s="453"/>
      <c r="D224" s="454"/>
      <c r="E224" s="454"/>
      <c r="F224" s="452"/>
      <c r="G224" s="455"/>
      <c r="H224" s="455"/>
      <c r="I224" s="452"/>
      <c r="J224" s="452"/>
      <c r="K224" s="291">
        <f>tab_invoices[[#This Row],[Množstvo]]*tab_invoices[[#This Row],[Náklady na jednotku]]</f>
        <v>0</v>
      </c>
      <c r="L224" s="454"/>
      <c r="M224" s="292" t="str">
        <f>IF(ISBLANK(tab_invoices[[#This Row],['#]]),"",VLOOKUP(tab_invoices[[#This Row],['#]],tab_budget[['#]:[Rozpočtová položka]],2,FALSE))</f>
        <v/>
      </c>
      <c r="N224" s="457" t="str">
        <f>IF(ISBLANK(tab_invoices[[#This Row],['#]]),"",VLOOKUP(tab_invoices[[#This Row],['#]],tab_budget[['#]:[Typ výdavku]],7,FALSE))</f>
        <v/>
      </c>
      <c r="O224" s="457" t="str">
        <f>IF(ISBLANK(tab_invoices[[#This Row],['#]]),"",VLOOKUP(tab_invoices[[#This Row],['#]],tab_budget[['#]:[Rozpočtová položka]],8,FALSE))</f>
        <v/>
      </c>
      <c r="P224" s="457" t="str">
        <f>IF(ISBLANK(tab_invoices[[#This Row],['#]]),"",VLOOKUP(tab_invoices[[#This Row],['#]],tab_budget[['#]:[Rozpočtová kapitola]],9,FALSE))</f>
        <v/>
      </c>
      <c r="Q224" s="457" t="str">
        <f>IF(ISBLANK(tab_invoices[[#This Row],['#]]),"",VLOOKUP(tab_invoices[[#This Row],['#]],tab_budget[['#]:[Realizuje]],10,FALSE))</f>
        <v/>
      </c>
      <c r="R224" s="457"/>
      <c r="S224" s="457"/>
    </row>
    <row r="225" spans="1:19" s="307" customFormat="1" ht="10.199999999999999" x14ac:dyDescent="0.2">
      <c r="A225" s="451">
        <f t="shared" si="7"/>
        <v>216</v>
      </c>
      <c r="B225" s="452"/>
      <c r="C225" s="453"/>
      <c r="D225" s="454"/>
      <c r="E225" s="454"/>
      <c r="F225" s="452"/>
      <c r="G225" s="455"/>
      <c r="H225" s="455"/>
      <c r="I225" s="452"/>
      <c r="J225" s="452"/>
      <c r="K225" s="291">
        <f>tab_invoices[[#This Row],[Množstvo]]*tab_invoices[[#This Row],[Náklady na jednotku]]</f>
        <v>0</v>
      </c>
      <c r="L225" s="454"/>
      <c r="M225" s="292" t="str">
        <f>IF(ISBLANK(tab_invoices[[#This Row],['#]]),"",VLOOKUP(tab_invoices[[#This Row],['#]],tab_budget[['#]:[Rozpočtová položka]],2,FALSE))</f>
        <v/>
      </c>
      <c r="N225" s="457" t="str">
        <f>IF(ISBLANK(tab_invoices[[#This Row],['#]]),"",VLOOKUP(tab_invoices[[#This Row],['#]],tab_budget[['#]:[Typ výdavku]],7,FALSE))</f>
        <v/>
      </c>
      <c r="O225" s="457" t="str">
        <f>IF(ISBLANK(tab_invoices[[#This Row],['#]]),"",VLOOKUP(tab_invoices[[#This Row],['#]],tab_budget[['#]:[Rozpočtová položka]],8,FALSE))</f>
        <v/>
      </c>
      <c r="P225" s="457" t="str">
        <f>IF(ISBLANK(tab_invoices[[#This Row],['#]]),"",VLOOKUP(tab_invoices[[#This Row],['#]],tab_budget[['#]:[Rozpočtová kapitola]],9,FALSE))</f>
        <v/>
      </c>
      <c r="Q225" s="457" t="str">
        <f>IF(ISBLANK(tab_invoices[[#This Row],['#]]),"",VLOOKUP(tab_invoices[[#This Row],['#]],tab_budget[['#]:[Realizuje]],10,FALSE))</f>
        <v/>
      </c>
      <c r="R225" s="457"/>
      <c r="S225" s="457"/>
    </row>
    <row r="226" spans="1:19" s="307" customFormat="1" ht="10.199999999999999" x14ac:dyDescent="0.2">
      <c r="A226" s="451">
        <f t="shared" si="7"/>
        <v>217</v>
      </c>
      <c r="B226" s="452"/>
      <c r="C226" s="453"/>
      <c r="D226" s="454"/>
      <c r="E226" s="454"/>
      <c r="F226" s="452"/>
      <c r="G226" s="455"/>
      <c r="H226" s="455"/>
      <c r="I226" s="452"/>
      <c r="J226" s="452"/>
      <c r="K226" s="291">
        <f>tab_invoices[[#This Row],[Množstvo]]*tab_invoices[[#This Row],[Náklady na jednotku]]</f>
        <v>0</v>
      </c>
      <c r="L226" s="454"/>
      <c r="M226" s="292" t="str">
        <f>IF(ISBLANK(tab_invoices[[#This Row],['#]]),"",VLOOKUP(tab_invoices[[#This Row],['#]],tab_budget[['#]:[Rozpočtová položka]],2,FALSE))</f>
        <v/>
      </c>
      <c r="N226" s="457" t="str">
        <f>IF(ISBLANK(tab_invoices[[#This Row],['#]]),"",VLOOKUP(tab_invoices[[#This Row],['#]],tab_budget[['#]:[Typ výdavku]],7,FALSE))</f>
        <v/>
      </c>
      <c r="O226" s="457" t="str">
        <f>IF(ISBLANK(tab_invoices[[#This Row],['#]]),"",VLOOKUP(tab_invoices[[#This Row],['#]],tab_budget[['#]:[Rozpočtová položka]],8,FALSE))</f>
        <v/>
      </c>
      <c r="P226" s="457" t="str">
        <f>IF(ISBLANK(tab_invoices[[#This Row],['#]]),"",VLOOKUP(tab_invoices[[#This Row],['#]],tab_budget[['#]:[Rozpočtová kapitola]],9,FALSE))</f>
        <v/>
      </c>
      <c r="Q226" s="457" t="str">
        <f>IF(ISBLANK(tab_invoices[[#This Row],['#]]),"",VLOOKUP(tab_invoices[[#This Row],['#]],tab_budget[['#]:[Realizuje]],10,FALSE))</f>
        <v/>
      </c>
      <c r="R226" s="457"/>
      <c r="S226" s="457"/>
    </row>
    <row r="227" spans="1:19" s="307" customFormat="1" ht="10.199999999999999" x14ac:dyDescent="0.2">
      <c r="A227" s="451">
        <f t="shared" si="7"/>
        <v>218</v>
      </c>
      <c r="B227" s="452"/>
      <c r="C227" s="453"/>
      <c r="D227" s="454"/>
      <c r="E227" s="454"/>
      <c r="F227" s="452"/>
      <c r="G227" s="455"/>
      <c r="H227" s="455"/>
      <c r="I227" s="452"/>
      <c r="J227" s="452"/>
      <c r="K227" s="291">
        <f>tab_invoices[[#This Row],[Množstvo]]*tab_invoices[[#This Row],[Náklady na jednotku]]</f>
        <v>0</v>
      </c>
      <c r="L227" s="454"/>
      <c r="M227" s="292" t="str">
        <f>IF(ISBLANK(tab_invoices[[#This Row],['#]]),"",VLOOKUP(tab_invoices[[#This Row],['#]],tab_budget[['#]:[Rozpočtová položka]],2,FALSE))</f>
        <v/>
      </c>
      <c r="N227" s="457" t="str">
        <f>IF(ISBLANK(tab_invoices[[#This Row],['#]]),"",VLOOKUP(tab_invoices[[#This Row],['#]],tab_budget[['#]:[Typ výdavku]],7,FALSE))</f>
        <v/>
      </c>
      <c r="O227" s="457" t="str">
        <f>IF(ISBLANK(tab_invoices[[#This Row],['#]]),"",VLOOKUP(tab_invoices[[#This Row],['#]],tab_budget[['#]:[Rozpočtová položka]],8,FALSE))</f>
        <v/>
      </c>
      <c r="P227" s="457" t="str">
        <f>IF(ISBLANK(tab_invoices[[#This Row],['#]]),"",VLOOKUP(tab_invoices[[#This Row],['#]],tab_budget[['#]:[Rozpočtová kapitola]],9,FALSE))</f>
        <v/>
      </c>
      <c r="Q227" s="457" t="str">
        <f>IF(ISBLANK(tab_invoices[[#This Row],['#]]),"",VLOOKUP(tab_invoices[[#This Row],['#]],tab_budget[['#]:[Realizuje]],10,FALSE))</f>
        <v/>
      </c>
      <c r="R227" s="457"/>
      <c r="S227" s="457"/>
    </row>
    <row r="228" spans="1:19" s="307" customFormat="1" ht="10.199999999999999" x14ac:dyDescent="0.2">
      <c r="A228" s="451">
        <f t="shared" si="7"/>
        <v>219</v>
      </c>
      <c r="B228" s="452"/>
      <c r="C228" s="453"/>
      <c r="D228" s="454"/>
      <c r="E228" s="454"/>
      <c r="F228" s="452"/>
      <c r="G228" s="455"/>
      <c r="H228" s="455"/>
      <c r="I228" s="452"/>
      <c r="J228" s="452"/>
      <c r="K228" s="291">
        <f>tab_invoices[[#This Row],[Množstvo]]*tab_invoices[[#This Row],[Náklady na jednotku]]</f>
        <v>0</v>
      </c>
      <c r="L228" s="454"/>
      <c r="M228" s="292" t="str">
        <f>IF(ISBLANK(tab_invoices[[#This Row],['#]]),"",VLOOKUP(tab_invoices[[#This Row],['#]],tab_budget[['#]:[Rozpočtová položka]],2,FALSE))</f>
        <v/>
      </c>
      <c r="N228" s="457" t="str">
        <f>IF(ISBLANK(tab_invoices[[#This Row],['#]]),"",VLOOKUP(tab_invoices[[#This Row],['#]],tab_budget[['#]:[Typ výdavku]],7,FALSE))</f>
        <v/>
      </c>
      <c r="O228" s="457" t="str">
        <f>IF(ISBLANK(tab_invoices[[#This Row],['#]]),"",VLOOKUP(tab_invoices[[#This Row],['#]],tab_budget[['#]:[Rozpočtová položka]],8,FALSE))</f>
        <v/>
      </c>
      <c r="P228" s="457" t="str">
        <f>IF(ISBLANK(tab_invoices[[#This Row],['#]]),"",VLOOKUP(tab_invoices[[#This Row],['#]],tab_budget[['#]:[Rozpočtová kapitola]],9,FALSE))</f>
        <v/>
      </c>
      <c r="Q228" s="457" t="str">
        <f>IF(ISBLANK(tab_invoices[[#This Row],['#]]),"",VLOOKUP(tab_invoices[[#This Row],['#]],tab_budget[['#]:[Realizuje]],10,FALSE))</f>
        <v/>
      </c>
      <c r="R228" s="457"/>
      <c r="S228" s="457"/>
    </row>
    <row r="229" spans="1:19" s="307" customFormat="1" ht="10.199999999999999" x14ac:dyDescent="0.2">
      <c r="A229" s="451">
        <f t="shared" si="7"/>
        <v>220</v>
      </c>
      <c r="B229" s="452"/>
      <c r="C229" s="453"/>
      <c r="D229" s="454"/>
      <c r="E229" s="454"/>
      <c r="F229" s="452"/>
      <c r="G229" s="455"/>
      <c r="H229" s="455"/>
      <c r="I229" s="452"/>
      <c r="J229" s="452"/>
      <c r="K229" s="291">
        <f>tab_invoices[[#This Row],[Množstvo]]*tab_invoices[[#This Row],[Náklady na jednotku]]</f>
        <v>0</v>
      </c>
      <c r="L229" s="454"/>
      <c r="M229" s="292" t="str">
        <f>IF(ISBLANK(tab_invoices[[#This Row],['#]]),"",VLOOKUP(tab_invoices[[#This Row],['#]],tab_budget[['#]:[Rozpočtová položka]],2,FALSE))</f>
        <v/>
      </c>
      <c r="N229" s="457" t="str">
        <f>IF(ISBLANK(tab_invoices[[#This Row],['#]]),"",VLOOKUP(tab_invoices[[#This Row],['#]],tab_budget[['#]:[Typ výdavku]],7,FALSE))</f>
        <v/>
      </c>
      <c r="O229" s="457" t="str">
        <f>IF(ISBLANK(tab_invoices[[#This Row],['#]]),"",VLOOKUP(tab_invoices[[#This Row],['#]],tab_budget[['#]:[Rozpočtová položka]],8,FALSE))</f>
        <v/>
      </c>
      <c r="P229" s="457" t="str">
        <f>IF(ISBLANK(tab_invoices[[#This Row],['#]]),"",VLOOKUP(tab_invoices[[#This Row],['#]],tab_budget[['#]:[Rozpočtová kapitola]],9,FALSE))</f>
        <v/>
      </c>
      <c r="Q229" s="457" t="str">
        <f>IF(ISBLANK(tab_invoices[[#This Row],['#]]),"",VLOOKUP(tab_invoices[[#This Row],['#]],tab_budget[['#]:[Realizuje]],10,FALSE))</f>
        <v/>
      </c>
      <c r="R229" s="457"/>
      <c r="S229" s="457"/>
    </row>
    <row r="230" spans="1:19" s="307" customFormat="1" ht="10.199999999999999" x14ac:dyDescent="0.2">
      <c r="A230" s="451">
        <f t="shared" si="7"/>
        <v>221</v>
      </c>
      <c r="B230" s="452"/>
      <c r="C230" s="453"/>
      <c r="D230" s="454"/>
      <c r="E230" s="454"/>
      <c r="F230" s="452"/>
      <c r="G230" s="455"/>
      <c r="H230" s="455"/>
      <c r="I230" s="452"/>
      <c r="J230" s="452"/>
      <c r="K230" s="291">
        <f>tab_invoices[[#This Row],[Množstvo]]*tab_invoices[[#This Row],[Náklady na jednotku]]</f>
        <v>0</v>
      </c>
      <c r="L230" s="454"/>
      <c r="M230" s="292" t="str">
        <f>IF(ISBLANK(tab_invoices[[#This Row],['#]]),"",VLOOKUP(tab_invoices[[#This Row],['#]],tab_budget[['#]:[Rozpočtová položka]],2,FALSE))</f>
        <v/>
      </c>
      <c r="N230" s="457" t="str">
        <f>IF(ISBLANK(tab_invoices[[#This Row],['#]]),"",VLOOKUP(tab_invoices[[#This Row],['#]],tab_budget[['#]:[Typ výdavku]],7,FALSE))</f>
        <v/>
      </c>
      <c r="O230" s="457" t="str">
        <f>IF(ISBLANK(tab_invoices[[#This Row],['#]]),"",VLOOKUP(tab_invoices[[#This Row],['#]],tab_budget[['#]:[Rozpočtová položka]],8,FALSE))</f>
        <v/>
      </c>
      <c r="P230" s="457" t="str">
        <f>IF(ISBLANK(tab_invoices[[#This Row],['#]]),"",VLOOKUP(tab_invoices[[#This Row],['#]],tab_budget[['#]:[Rozpočtová kapitola]],9,FALSE))</f>
        <v/>
      </c>
      <c r="Q230" s="457" t="str">
        <f>IF(ISBLANK(tab_invoices[[#This Row],['#]]),"",VLOOKUP(tab_invoices[[#This Row],['#]],tab_budget[['#]:[Realizuje]],10,FALSE))</f>
        <v/>
      </c>
      <c r="R230" s="457"/>
      <c r="S230" s="457"/>
    </row>
    <row r="231" spans="1:19" s="307" customFormat="1" ht="10.199999999999999" x14ac:dyDescent="0.2">
      <c r="A231" s="451">
        <f t="shared" si="7"/>
        <v>222</v>
      </c>
      <c r="B231" s="452"/>
      <c r="C231" s="453"/>
      <c r="D231" s="454"/>
      <c r="E231" s="454"/>
      <c r="F231" s="452"/>
      <c r="G231" s="455"/>
      <c r="H231" s="455"/>
      <c r="I231" s="452"/>
      <c r="J231" s="452"/>
      <c r="K231" s="291">
        <f>tab_invoices[[#This Row],[Množstvo]]*tab_invoices[[#This Row],[Náklady na jednotku]]</f>
        <v>0</v>
      </c>
      <c r="L231" s="454"/>
      <c r="M231" s="292" t="str">
        <f>IF(ISBLANK(tab_invoices[[#This Row],['#]]),"",VLOOKUP(tab_invoices[[#This Row],['#]],tab_budget[['#]:[Rozpočtová položka]],2,FALSE))</f>
        <v/>
      </c>
      <c r="N231" s="457" t="str">
        <f>IF(ISBLANK(tab_invoices[[#This Row],['#]]),"",VLOOKUP(tab_invoices[[#This Row],['#]],tab_budget[['#]:[Typ výdavku]],7,FALSE))</f>
        <v/>
      </c>
      <c r="O231" s="457" t="str">
        <f>IF(ISBLANK(tab_invoices[[#This Row],['#]]),"",VLOOKUP(tab_invoices[[#This Row],['#]],tab_budget[['#]:[Rozpočtová položka]],8,FALSE))</f>
        <v/>
      </c>
      <c r="P231" s="457" t="str">
        <f>IF(ISBLANK(tab_invoices[[#This Row],['#]]),"",VLOOKUP(tab_invoices[[#This Row],['#]],tab_budget[['#]:[Rozpočtová kapitola]],9,FALSE))</f>
        <v/>
      </c>
      <c r="Q231" s="457" t="str">
        <f>IF(ISBLANK(tab_invoices[[#This Row],['#]]),"",VLOOKUP(tab_invoices[[#This Row],['#]],tab_budget[['#]:[Realizuje]],10,FALSE))</f>
        <v/>
      </c>
      <c r="R231" s="457"/>
      <c r="S231" s="457"/>
    </row>
    <row r="232" spans="1:19" s="307" customFormat="1" ht="10.199999999999999" x14ac:dyDescent="0.2">
      <c r="A232" s="451">
        <f t="shared" si="7"/>
        <v>223</v>
      </c>
      <c r="B232" s="452"/>
      <c r="C232" s="453"/>
      <c r="D232" s="454"/>
      <c r="E232" s="454"/>
      <c r="F232" s="452"/>
      <c r="G232" s="455"/>
      <c r="H232" s="455"/>
      <c r="I232" s="452"/>
      <c r="J232" s="452"/>
      <c r="K232" s="291">
        <f>tab_invoices[[#This Row],[Množstvo]]*tab_invoices[[#This Row],[Náklady na jednotku]]</f>
        <v>0</v>
      </c>
      <c r="L232" s="454"/>
      <c r="M232" s="292" t="str">
        <f>IF(ISBLANK(tab_invoices[[#This Row],['#]]),"",VLOOKUP(tab_invoices[[#This Row],['#]],tab_budget[['#]:[Rozpočtová položka]],2,FALSE))</f>
        <v/>
      </c>
      <c r="N232" s="457" t="str">
        <f>IF(ISBLANK(tab_invoices[[#This Row],['#]]),"",VLOOKUP(tab_invoices[[#This Row],['#]],tab_budget[['#]:[Typ výdavku]],7,FALSE))</f>
        <v/>
      </c>
      <c r="O232" s="457" t="str">
        <f>IF(ISBLANK(tab_invoices[[#This Row],['#]]),"",VLOOKUP(tab_invoices[[#This Row],['#]],tab_budget[['#]:[Rozpočtová položka]],8,FALSE))</f>
        <v/>
      </c>
      <c r="P232" s="457" t="str">
        <f>IF(ISBLANK(tab_invoices[[#This Row],['#]]),"",VLOOKUP(tab_invoices[[#This Row],['#]],tab_budget[['#]:[Rozpočtová kapitola]],9,FALSE))</f>
        <v/>
      </c>
      <c r="Q232" s="457" t="str">
        <f>IF(ISBLANK(tab_invoices[[#This Row],['#]]),"",VLOOKUP(tab_invoices[[#This Row],['#]],tab_budget[['#]:[Realizuje]],10,FALSE))</f>
        <v/>
      </c>
      <c r="R232" s="457"/>
      <c r="S232" s="457"/>
    </row>
    <row r="233" spans="1:19" s="307" customFormat="1" ht="10.199999999999999" x14ac:dyDescent="0.2">
      <c r="A233" s="451">
        <f t="shared" si="7"/>
        <v>224</v>
      </c>
      <c r="B233" s="452"/>
      <c r="C233" s="453"/>
      <c r="D233" s="454"/>
      <c r="E233" s="454"/>
      <c r="F233" s="452"/>
      <c r="G233" s="455"/>
      <c r="H233" s="455"/>
      <c r="I233" s="452"/>
      <c r="J233" s="452"/>
      <c r="K233" s="291">
        <f>tab_invoices[[#This Row],[Množstvo]]*tab_invoices[[#This Row],[Náklady na jednotku]]</f>
        <v>0</v>
      </c>
      <c r="L233" s="454"/>
      <c r="M233" s="292" t="str">
        <f>IF(ISBLANK(tab_invoices[[#This Row],['#]]),"",VLOOKUP(tab_invoices[[#This Row],['#]],tab_budget[['#]:[Rozpočtová položka]],2,FALSE))</f>
        <v/>
      </c>
      <c r="N233" s="457" t="str">
        <f>IF(ISBLANK(tab_invoices[[#This Row],['#]]),"",VLOOKUP(tab_invoices[[#This Row],['#]],tab_budget[['#]:[Typ výdavku]],7,FALSE))</f>
        <v/>
      </c>
      <c r="O233" s="457" t="str">
        <f>IF(ISBLANK(tab_invoices[[#This Row],['#]]),"",VLOOKUP(tab_invoices[[#This Row],['#]],tab_budget[['#]:[Rozpočtová položka]],8,FALSE))</f>
        <v/>
      </c>
      <c r="P233" s="457" t="str">
        <f>IF(ISBLANK(tab_invoices[[#This Row],['#]]),"",VLOOKUP(tab_invoices[[#This Row],['#]],tab_budget[['#]:[Rozpočtová kapitola]],9,FALSE))</f>
        <v/>
      </c>
      <c r="Q233" s="457" t="str">
        <f>IF(ISBLANK(tab_invoices[[#This Row],['#]]),"",VLOOKUP(tab_invoices[[#This Row],['#]],tab_budget[['#]:[Realizuje]],10,FALSE))</f>
        <v/>
      </c>
      <c r="R233" s="457"/>
      <c r="S233" s="457"/>
    </row>
    <row r="234" spans="1:19" s="307" customFormat="1" ht="10.199999999999999" x14ac:dyDescent="0.2">
      <c r="A234" s="451">
        <f t="shared" si="7"/>
        <v>225</v>
      </c>
      <c r="B234" s="452"/>
      <c r="C234" s="453"/>
      <c r="D234" s="454"/>
      <c r="E234" s="454"/>
      <c r="F234" s="452"/>
      <c r="G234" s="455"/>
      <c r="H234" s="455"/>
      <c r="I234" s="452"/>
      <c r="J234" s="452"/>
      <c r="K234" s="291">
        <f>tab_invoices[[#This Row],[Množstvo]]*tab_invoices[[#This Row],[Náklady na jednotku]]</f>
        <v>0</v>
      </c>
      <c r="L234" s="454"/>
      <c r="M234" s="292" t="str">
        <f>IF(ISBLANK(tab_invoices[[#This Row],['#]]),"",VLOOKUP(tab_invoices[[#This Row],['#]],tab_budget[['#]:[Rozpočtová položka]],2,FALSE))</f>
        <v/>
      </c>
      <c r="N234" s="457" t="str">
        <f>IF(ISBLANK(tab_invoices[[#This Row],['#]]),"",VLOOKUP(tab_invoices[[#This Row],['#]],tab_budget[['#]:[Typ výdavku]],7,FALSE))</f>
        <v/>
      </c>
      <c r="O234" s="457" t="str">
        <f>IF(ISBLANK(tab_invoices[[#This Row],['#]]),"",VLOOKUP(tab_invoices[[#This Row],['#]],tab_budget[['#]:[Rozpočtová položka]],8,FALSE))</f>
        <v/>
      </c>
      <c r="P234" s="457" t="str">
        <f>IF(ISBLANK(tab_invoices[[#This Row],['#]]),"",VLOOKUP(tab_invoices[[#This Row],['#]],tab_budget[['#]:[Rozpočtová kapitola]],9,FALSE))</f>
        <v/>
      </c>
      <c r="Q234" s="457" t="str">
        <f>IF(ISBLANK(tab_invoices[[#This Row],['#]]),"",VLOOKUP(tab_invoices[[#This Row],['#]],tab_budget[['#]:[Realizuje]],10,FALSE))</f>
        <v/>
      </c>
      <c r="R234" s="457"/>
      <c r="S234" s="457"/>
    </row>
    <row r="235" spans="1:19" s="307" customFormat="1" ht="10.199999999999999" x14ac:dyDescent="0.2">
      <c r="A235" s="451">
        <f t="shared" si="7"/>
        <v>226</v>
      </c>
      <c r="B235" s="452"/>
      <c r="C235" s="453"/>
      <c r="D235" s="454"/>
      <c r="E235" s="454"/>
      <c r="F235" s="452"/>
      <c r="G235" s="455"/>
      <c r="H235" s="455"/>
      <c r="I235" s="452"/>
      <c r="J235" s="452"/>
      <c r="K235" s="291">
        <f>tab_invoices[[#This Row],[Množstvo]]*tab_invoices[[#This Row],[Náklady na jednotku]]</f>
        <v>0</v>
      </c>
      <c r="L235" s="454"/>
      <c r="M235" s="292" t="str">
        <f>IF(ISBLANK(tab_invoices[[#This Row],['#]]),"",VLOOKUP(tab_invoices[[#This Row],['#]],tab_budget[['#]:[Rozpočtová položka]],2,FALSE))</f>
        <v/>
      </c>
      <c r="N235" s="457" t="str">
        <f>IF(ISBLANK(tab_invoices[[#This Row],['#]]),"",VLOOKUP(tab_invoices[[#This Row],['#]],tab_budget[['#]:[Typ výdavku]],7,FALSE))</f>
        <v/>
      </c>
      <c r="O235" s="457" t="str">
        <f>IF(ISBLANK(tab_invoices[[#This Row],['#]]),"",VLOOKUP(tab_invoices[[#This Row],['#]],tab_budget[['#]:[Rozpočtová položka]],8,FALSE))</f>
        <v/>
      </c>
      <c r="P235" s="457" t="str">
        <f>IF(ISBLANK(tab_invoices[[#This Row],['#]]),"",VLOOKUP(tab_invoices[[#This Row],['#]],tab_budget[['#]:[Rozpočtová kapitola]],9,FALSE))</f>
        <v/>
      </c>
      <c r="Q235" s="457" t="str">
        <f>IF(ISBLANK(tab_invoices[[#This Row],['#]]),"",VLOOKUP(tab_invoices[[#This Row],['#]],tab_budget[['#]:[Realizuje]],10,FALSE))</f>
        <v/>
      </c>
      <c r="R235" s="457"/>
      <c r="S235" s="457"/>
    </row>
    <row r="236" spans="1:19" s="307" customFormat="1" ht="10.199999999999999" x14ac:dyDescent="0.2">
      <c r="A236" s="451">
        <f t="shared" si="7"/>
        <v>227</v>
      </c>
      <c r="B236" s="452"/>
      <c r="C236" s="453"/>
      <c r="D236" s="454"/>
      <c r="E236" s="454"/>
      <c r="F236" s="452"/>
      <c r="G236" s="455"/>
      <c r="H236" s="455"/>
      <c r="I236" s="452"/>
      <c r="J236" s="452"/>
      <c r="K236" s="291">
        <f>tab_invoices[[#This Row],[Množstvo]]*tab_invoices[[#This Row],[Náklady na jednotku]]</f>
        <v>0</v>
      </c>
      <c r="L236" s="454"/>
      <c r="M236" s="292" t="str">
        <f>IF(ISBLANK(tab_invoices[[#This Row],['#]]),"",VLOOKUP(tab_invoices[[#This Row],['#]],tab_budget[['#]:[Rozpočtová položka]],2,FALSE))</f>
        <v/>
      </c>
      <c r="N236" s="457" t="str">
        <f>IF(ISBLANK(tab_invoices[[#This Row],['#]]),"",VLOOKUP(tab_invoices[[#This Row],['#]],tab_budget[['#]:[Typ výdavku]],7,FALSE))</f>
        <v/>
      </c>
      <c r="O236" s="457" t="str">
        <f>IF(ISBLANK(tab_invoices[[#This Row],['#]]),"",VLOOKUP(tab_invoices[[#This Row],['#]],tab_budget[['#]:[Rozpočtová položka]],8,FALSE))</f>
        <v/>
      </c>
      <c r="P236" s="457" t="str">
        <f>IF(ISBLANK(tab_invoices[[#This Row],['#]]),"",VLOOKUP(tab_invoices[[#This Row],['#]],tab_budget[['#]:[Rozpočtová kapitola]],9,FALSE))</f>
        <v/>
      </c>
      <c r="Q236" s="457" t="str">
        <f>IF(ISBLANK(tab_invoices[[#This Row],['#]]),"",VLOOKUP(tab_invoices[[#This Row],['#]],tab_budget[['#]:[Realizuje]],10,FALSE))</f>
        <v/>
      </c>
      <c r="R236" s="457"/>
      <c r="S236" s="457"/>
    </row>
    <row r="237" spans="1:19" s="307" customFormat="1" ht="10.199999999999999" x14ac:dyDescent="0.2">
      <c r="A237" s="451">
        <f t="shared" si="7"/>
        <v>228</v>
      </c>
      <c r="B237" s="452"/>
      <c r="C237" s="453"/>
      <c r="D237" s="454"/>
      <c r="E237" s="454"/>
      <c r="F237" s="452"/>
      <c r="G237" s="455"/>
      <c r="H237" s="455"/>
      <c r="I237" s="452"/>
      <c r="J237" s="452"/>
      <c r="K237" s="291">
        <f>tab_invoices[[#This Row],[Množstvo]]*tab_invoices[[#This Row],[Náklady na jednotku]]</f>
        <v>0</v>
      </c>
      <c r="L237" s="454"/>
      <c r="M237" s="292" t="str">
        <f>IF(ISBLANK(tab_invoices[[#This Row],['#]]),"",VLOOKUP(tab_invoices[[#This Row],['#]],tab_budget[['#]:[Rozpočtová položka]],2,FALSE))</f>
        <v/>
      </c>
      <c r="N237" s="457" t="str">
        <f>IF(ISBLANK(tab_invoices[[#This Row],['#]]),"",VLOOKUP(tab_invoices[[#This Row],['#]],tab_budget[['#]:[Typ výdavku]],7,FALSE))</f>
        <v/>
      </c>
      <c r="O237" s="457" t="str">
        <f>IF(ISBLANK(tab_invoices[[#This Row],['#]]),"",VLOOKUP(tab_invoices[[#This Row],['#]],tab_budget[['#]:[Rozpočtová položka]],8,FALSE))</f>
        <v/>
      </c>
      <c r="P237" s="457" t="str">
        <f>IF(ISBLANK(tab_invoices[[#This Row],['#]]),"",VLOOKUP(tab_invoices[[#This Row],['#]],tab_budget[['#]:[Rozpočtová kapitola]],9,FALSE))</f>
        <v/>
      </c>
      <c r="Q237" s="457" t="str">
        <f>IF(ISBLANK(tab_invoices[[#This Row],['#]]),"",VLOOKUP(tab_invoices[[#This Row],['#]],tab_budget[['#]:[Realizuje]],10,FALSE))</f>
        <v/>
      </c>
      <c r="R237" s="457"/>
      <c r="S237" s="457"/>
    </row>
    <row r="238" spans="1:19" s="307" customFormat="1" ht="10.199999999999999" x14ac:dyDescent="0.2">
      <c r="A238" s="451">
        <f t="shared" si="7"/>
        <v>229</v>
      </c>
      <c r="B238" s="452"/>
      <c r="C238" s="453"/>
      <c r="D238" s="454"/>
      <c r="E238" s="454"/>
      <c r="F238" s="452"/>
      <c r="G238" s="455"/>
      <c r="H238" s="455"/>
      <c r="I238" s="452"/>
      <c r="J238" s="452"/>
      <c r="K238" s="291">
        <f>tab_invoices[[#This Row],[Množstvo]]*tab_invoices[[#This Row],[Náklady na jednotku]]</f>
        <v>0</v>
      </c>
      <c r="L238" s="454"/>
      <c r="M238" s="292" t="str">
        <f>IF(ISBLANK(tab_invoices[[#This Row],['#]]),"",VLOOKUP(tab_invoices[[#This Row],['#]],tab_budget[['#]:[Rozpočtová položka]],2,FALSE))</f>
        <v/>
      </c>
      <c r="N238" s="457" t="str">
        <f>IF(ISBLANK(tab_invoices[[#This Row],['#]]),"",VLOOKUP(tab_invoices[[#This Row],['#]],tab_budget[['#]:[Typ výdavku]],7,FALSE))</f>
        <v/>
      </c>
      <c r="O238" s="457" t="str">
        <f>IF(ISBLANK(tab_invoices[[#This Row],['#]]),"",VLOOKUP(tab_invoices[[#This Row],['#]],tab_budget[['#]:[Rozpočtová položka]],8,FALSE))</f>
        <v/>
      </c>
      <c r="P238" s="457" t="str">
        <f>IF(ISBLANK(tab_invoices[[#This Row],['#]]),"",VLOOKUP(tab_invoices[[#This Row],['#]],tab_budget[['#]:[Rozpočtová kapitola]],9,FALSE))</f>
        <v/>
      </c>
      <c r="Q238" s="457" t="str">
        <f>IF(ISBLANK(tab_invoices[[#This Row],['#]]),"",VLOOKUP(tab_invoices[[#This Row],['#]],tab_budget[['#]:[Realizuje]],10,FALSE))</f>
        <v/>
      </c>
      <c r="R238" s="457"/>
      <c r="S238" s="457"/>
    </row>
    <row r="239" spans="1:19" s="307" customFormat="1" ht="10.199999999999999" x14ac:dyDescent="0.2">
      <c r="A239" s="451">
        <f t="shared" si="7"/>
        <v>230</v>
      </c>
      <c r="B239" s="452"/>
      <c r="C239" s="453"/>
      <c r="D239" s="454"/>
      <c r="E239" s="454"/>
      <c r="F239" s="452"/>
      <c r="G239" s="455"/>
      <c r="H239" s="455"/>
      <c r="I239" s="452"/>
      <c r="J239" s="452"/>
      <c r="K239" s="291">
        <f>tab_invoices[[#This Row],[Množstvo]]*tab_invoices[[#This Row],[Náklady na jednotku]]</f>
        <v>0</v>
      </c>
      <c r="L239" s="454"/>
      <c r="M239" s="292" t="str">
        <f>IF(ISBLANK(tab_invoices[[#This Row],['#]]),"",VLOOKUP(tab_invoices[[#This Row],['#]],tab_budget[['#]:[Rozpočtová položka]],2,FALSE))</f>
        <v/>
      </c>
      <c r="N239" s="457" t="str">
        <f>IF(ISBLANK(tab_invoices[[#This Row],['#]]),"",VLOOKUP(tab_invoices[[#This Row],['#]],tab_budget[['#]:[Typ výdavku]],7,FALSE))</f>
        <v/>
      </c>
      <c r="O239" s="457" t="str">
        <f>IF(ISBLANK(tab_invoices[[#This Row],['#]]),"",VLOOKUP(tab_invoices[[#This Row],['#]],tab_budget[['#]:[Rozpočtová položka]],8,FALSE))</f>
        <v/>
      </c>
      <c r="P239" s="457" t="str">
        <f>IF(ISBLANK(tab_invoices[[#This Row],['#]]),"",VLOOKUP(tab_invoices[[#This Row],['#]],tab_budget[['#]:[Rozpočtová kapitola]],9,FALSE))</f>
        <v/>
      </c>
      <c r="Q239" s="457" t="str">
        <f>IF(ISBLANK(tab_invoices[[#This Row],['#]]),"",VLOOKUP(tab_invoices[[#This Row],['#]],tab_budget[['#]:[Realizuje]],10,FALSE))</f>
        <v/>
      </c>
      <c r="R239" s="457"/>
      <c r="S239" s="457"/>
    </row>
    <row r="240" spans="1:19" s="307" customFormat="1" ht="10.199999999999999" x14ac:dyDescent="0.2">
      <c r="A240" s="451">
        <f t="shared" si="7"/>
        <v>231</v>
      </c>
      <c r="B240" s="452"/>
      <c r="C240" s="453"/>
      <c r="D240" s="454"/>
      <c r="E240" s="454"/>
      <c r="F240" s="452"/>
      <c r="G240" s="455"/>
      <c r="H240" s="455"/>
      <c r="I240" s="452"/>
      <c r="J240" s="452"/>
      <c r="K240" s="291">
        <f>tab_invoices[[#This Row],[Množstvo]]*tab_invoices[[#This Row],[Náklady na jednotku]]</f>
        <v>0</v>
      </c>
      <c r="L240" s="454"/>
      <c r="M240" s="292" t="str">
        <f>IF(ISBLANK(tab_invoices[[#This Row],['#]]),"",VLOOKUP(tab_invoices[[#This Row],['#]],tab_budget[['#]:[Rozpočtová položka]],2,FALSE))</f>
        <v/>
      </c>
      <c r="N240" s="457" t="str">
        <f>IF(ISBLANK(tab_invoices[[#This Row],['#]]),"",VLOOKUP(tab_invoices[[#This Row],['#]],tab_budget[['#]:[Typ výdavku]],7,FALSE))</f>
        <v/>
      </c>
      <c r="O240" s="457" t="str">
        <f>IF(ISBLANK(tab_invoices[[#This Row],['#]]),"",VLOOKUP(tab_invoices[[#This Row],['#]],tab_budget[['#]:[Rozpočtová položka]],8,FALSE))</f>
        <v/>
      </c>
      <c r="P240" s="457" t="str">
        <f>IF(ISBLANK(tab_invoices[[#This Row],['#]]),"",VLOOKUP(tab_invoices[[#This Row],['#]],tab_budget[['#]:[Rozpočtová kapitola]],9,FALSE))</f>
        <v/>
      </c>
      <c r="Q240" s="457" t="str">
        <f>IF(ISBLANK(tab_invoices[[#This Row],['#]]),"",VLOOKUP(tab_invoices[[#This Row],['#]],tab_budget[['#]:[Realizuje]],10,FALSE))</f>
        <v/>
      </c>
      <c r="R240" s="457"/>
      <c r="S240" s="457"/>
    </row>
    <row r="241" spans="1:19" s="307" customFormat="1" ht="10.199999999999999" x14ac:dyDescent="0.2">
      <c r="A241" s="451">
        <f t="shared" si="7"/>
        <v>232</v>
      </c>
      <c r="B241" s="452"/>
      <c r="C241" s="453"/>
      <c r="D241" s="454"/>
      <c r="E241" s="454"/>
      <c r="F241" s="452"/>
      <c r="G241" s="455"/>
      <c r="H241" s="455"/>
      <c r="I241" s="452"/>
      <c r="J241" s="452"/>
      <c r="K241" s="291">
        <f>tab_invoices[[#This Row],[Množstvo]]*tab_invoices[[#This Row],[Náklady na jednotku]]</f>
        <v>0</v>
      </c>
      <c r="L241" s="454"/>
      <c r="M241" s="292" t="str">
        <f>IF(ISBLANK(tab_invoices[[#This Row],['#]]),"",VLOOKUP(tab_invoices[[#This Row],['#]],tab_budget[['#]:[Rozpočtová položka]],2,FALSE))</f>
        <v/>
      </c>
      <c r="N241" s="457" t="str">
        <f>IF(ISBLANK(tab_invoices[[#This Row],['#]]),"",VLOOKUP(tab_invoices[[#This Row],['#]],tab_budget[['#]:[Typ výdavku]],7,FALSE))</f>
        <v/>
      </c>
      <c r="O241" s="457" t="str">
        <f>IF(ISBLANK(tab_invoices[[#This Row],['#]]),"",VLOOKUP(tab_invoices[[#This Row],['#]],tab_budget[['#]:[Rozpočtová položka]],8,FALSE))</f>
        <v/>
      </c>
      <c r="P241" s="457" t="str">
        <f>IF(ISBLANK(tab_invoices[[#This Row],['#]]),"",VLOOKUP(tab_invoices[[#This Row],['#]],tab_budget[['#]:[Rozpočtová kapitola]],9,FALSE))</f>
        <v/>
      </c>
      <c r="Q241" s="457" t="str">
        <f>IF(ISBLANK(tab_invoices[[#This Row],['#]]),"",VLOOKUP(tab_invoices[[#This Row],['#]],tab_budget[['#]:[Realizuje]],10,FALSE))</f>
        <v/>
      </c>
      <c r="R241" s="457"/>
      <c r="S241" s="457"/>
    </row>
    <row r="242" spans="1:19" s="307" customFormat="1" ht="10.199999999999999" x14ac:dyDescent="0.2">
      <c r="A242" s="451">
        <f t="shared" si="7"/>
        <v>233</v>
      </c>
      <c r="B242" s="452"/>
      <c r="C242" s="453"/>
      <c r="D242" s="454"/>
      <c r="E242" s="454"/>
      <c r="F242" s="452"/>
      <c r="G242" s="455"/>
      <c r="H242" s="455"/>
      <c r="I242" s="452"/>
      <c r="J242" s="452"/>
      <c r="K242" s="291">
        <f>tab_invoices[[#This Row],[Množstvo]]*tab_invoices[[#This Row],[Náklady na jednotku]]</f>
        <v>0</v>
      </c>
      <c r="L242" s="454"/>
      <c r="M242" s="292" t="str">
        <f>IF(ISBLANK(tab_invoices[[#This Row],['#]]),"",VLOOKUP(tab_invoices[[#This Row],['#]],tab_budget[['#]:[Rozpočtová položka]],2,FALSE))</f>
        <v/>
      </c>
      <c r="N242" s="457" t="str">
        <f>IF(ISBLANK(tab_invoices[[#This Row],['#]]),"",VLOOKUP(tab_invoices[[#This Row],['#]],tab_budget[['#]:[Typ výdavku]],7,FALSE))</f>
        <v/>
      </c>
      <c r="O242" s="457" t="str">
        <f>IF(ISBLANK(tab_invoices[[#This Row],['#]]),"",VLOOKUP(tab_invoices[[#This Row],['#]],tab_budget[['#]:[Rozpočtová položka]],8,FALSE))</f>
        <v/>
      </c>
      <c r="P242" s="457" t="str">
        <f>IF(ISBLANK(tab_invoices[[#This Row],['#]]),"",VLOOKUP(tab_invoices[[#This Row],['#]],tab_budget[['#]:[Rozpočtová kapitola]],9,FALSE))</f>
        <v/>
      </c>
      <c r="Q242" s="457" t="str">
        <f>IF(ISBLANK(tab_invoices[[#This Row],['#]]),"",VLOOKUP(tab_invoices[[#This Row],['#]],tab_budget[['#]:[Realizuje]],10,FALSE))</f>
        <v/>
      </c>
      <c r="R242" s="457"/>
      <c r="S242" s="457"/>
    </row>
    <row r="243" spans="1:19" s="307" customFormat="1" ht="10.199999999999999" x14ac:dyDescent="0.2">
      <c r="A243" s="451">
        <f t="shared" ref="A243:A260" si="8">ROW(B243)-9</f>
        <v>234</v>
      </c>
      <c r="B243" s="452"/>
      <c r="C243" s="453"/>
      <c r="D243" s="454"/>
      <c r="E243" s="454"/>
      <c r="F243" s="452"/>
      <c r="G243" s="455"/>
      <c r="H243" s="455"/>
      <c r="I243" s="452"/>
      <c r="J243" s="452"/>
      <c r="K243" s="291">
        <f>tab_invoices[[#This Row],[Množstvo]]*tab_invoices[[#This Row],[Náklady na jednotku]]</f>
        <v>0</v>
      </c>
      <c r="L243" s="454"/>
      <c r="M243" s="292" t="str">
        <f>IF(ISBLANK(tab_invoices[[#This Row],['#]]),"",VLOOKUP(tab_invoices[[#This Row],['#]],tab_budget[['#]:[Rozpočtová položka]],2,FALSE))</f>
        <v/>
      </c>
      <c r="N243" s="457" t="str">
        <f>IF(ISBLANK(tab_invoices[[#This Row],['#]]),"",VLOOKUP(tab_invoices[[#This Row],['#]],tab_budget[['#]:[Typ výdavku]],7,FALSE))</f>
        <v/>
      </c>
      <c r="O243" s="457" t="str">
        <f>IF(ISBLANK(tab_invoices[[#This Row],['#]]),"",VLOOKUP(tab_invoices[[#This Row],['#]],tab_budget[['#]:[Rozpočtová položka]],8,FALSE))</f>
        <v/>
      </c>
      <c r="P243" s="457" t="str">
        <f>IF(ISBLANK(tab_invoices[[#This Row],['#]]),"",VLOOKUP(tab_invoices[[#This Row],['#]],tab_budget[['#]:[Rozpočtová kapitola]],9,FALSE))</f>
        <v/>
      </c>
      <c r="Q243" s="457" t="str">
        <f>IF(ISBLANK(tab_invoices[[#This Row],['#]]),"",VLOOKUP(tab_invoices[[#This Row],['#]],tab_budget[['#]:[Realizuje]],10,FALSE))</f>
        <v/>
      </c>
      <c r="R243" s="457"/>
      <c r="S243" s="457"/>
    </row>
    <row r="244" spans="1:19" s="307" customFormat="1" ht="10.199999999999999" x14ac:dyDescent="0.2">
      <c r="A244" s="451">
        <f t="shared" si="8"/>
        <v>235</v>
      </c>
      <c r="B244" s="452"/>
      <c r="C244" s="453"/>
      <c r="D244" s="454"/>
      <c r="E244" s="454"/>
      <c r="F244" s="452"/>
      <c r="G244" s="455"/>
      <c r="H244" s="455"/>
      <c r="I244" s="452"/>
      <c r="J244" s="452"/>
      <c r="K244" s="291">
        <f>tab_invoices[[#This Row],[Množstvo]]*tab_invoices[[#This Row],[Náklady na jednotku]]</f>
        <v>0</v>
      </c>
      <c r="L244" s="454"/>
      <c r="M244" s="292" t="str">
        <f>IF(ISBLANK(tab_invoices[[#This Row],['#]]),"",VLOOKUP(tab_invoices[[#This Row],['#]],tab_budget[['#]:[Rozpočtová položka]],2,FALSE))</f>
        <v/>
      </c>
      <c r="N244" s="457" t="str">
        <f>IF(ISBLANK(tab_invoices[[#This Row],['#]]),"",VLOOKUP(tab_invoices[[#This Row],['#]],tab_budget[['#]:[Typ výdavku]],7,FALSE))</f>
        <v/>
      </c>
      <c r="O244" s="457" t="str">
        <f>IF(ISBLANK(tab_invoices[[#This Row],['#]]),"",VLOOKUP(tab_invoices[[#This Row],['#]],tab_budget[['#]:[Rozpočtová položka]],8,FALSE))</f>
        <v/>
      </c>
      <c r="P244" s="457" t="str">
        <f>IF(ISBLANK(tab_invoices[[#This Row],['#]]),"",VLOOKUP(tab_invoices[[#This Row],['#]],tab_budget[['#]:[Rozpočtová kapitola]],9,FALSE))</f>
        <v/>
      </c>
      <c r="Q244" s="457" t="str">
        <f>IF(ISBLANK(tab_invoices[[#This Row],['#]]),"",VLOOKUP(tab_invoices[[#This Row],['#]],tab_budget[['#]:[Realizuje]],10,FALSE))</f>
        <v/>
      </c>
      <c r="R244" s="457"/>
      <c r="S244" s="457"/>
    </row>
    <row r="245" spans="1:19" s="307" customFormat="1" ht="10.199999999999999" x14ac:dyDescent="0.2">
      <c r="A245" s="451">
        <f t="shared" si="8"/>
        <v>236</v>
      </c>
      <c r="B245" s="452"/>
      <c r="C245" s="453"/>
      <c r="D245" s="454"/>
      <c r="E245" s="454"/>
      <c r="F245" s="452"/>
      <c r="G245" s="455"/>
      <c r="H245" s="455"/>
      <c r="I245" s="452"/>
      <c r="J245" s="452"/>
      <c r="K245" s="291">
        <f>tab_invoices[[#This Row],[Množstvo]]*tab_invoices[[#This Row],[Náklady na jednotku]]</f>
        <v>0</v>
      </c>
      <c r="L245" s="454"/>
      <c r="M245" s="292" t="str">
        <f>IF(ISBLANK(tab_invoices[[#This Row],['#]]),"",VLOOKUP(tab_invoices[[#This Row],['#]],tab_budget[['#]:[Rozpočtová položka]],2,FALSE))</f>
        <v/>
      </c>
      <c r="N245" s="457" t="str">
        <f>IF(ISBLANK(tab_invoices[[#This Row],['#]]),"",VLOOKUP(tab_invoices[[#This Row],['#]],tab_budget[['#]:[Typ výdavku]],7,FALSE))</f>
        <v/>
      </c>
      <c r="O245" s="457" t="str">
        <f>IF(ISBLANK(tab_invoices[[#This Row],['#]]),"",VLOOKUP(tab_invoices[[#This Row],['#]],tab_budget[['#]:[Rozpočtová položka]],8,FALSE))</f>
        <v/>
      </c>
      <c r="P245" s="457" t="str">
        <f>IF(ISBLANK(tab_invoices[[#This Row],['#]]),"",VLOOKUP(tab_invoices[[#This Row],['#]],tab_budget[['#]:[Rozpočtová kapitola]],9,FALSE))</f>
        <v/>
      </c>
      <c r="Q245" s="457" t="str">
        <f>IF(ISBLANK(tab_invoices[[#This Row],['#]]),"",VLOOKUP(tab_invoices[[#This Row],['#]],tab_budget[['#]:[Realizuje]],10,FALSE))</f>
        <v/>
      </c>
      <c r="R245" s="457"/>
      <c r="S245" s="457"/>
    </row>
    <row r="246" spans="1:19" s="307" customFormat="1" ht="10.199999999999999" x14ac:dyDescent="0.2">
      <c r="A246" s="451">
        <f t="shared" si="8"/>
        <v>237</v>
      </c>
      <c r="B246" s="452"/>
      <c r="C246" s="453"/>
      <c r="D246" s="454"/>
      <c r="E246" s="454"/>
      <c r="F246" s="452"/>
      <c r="G246" s="455"/>
      <c r="H246" s="455"/>
      <c r="I246" s="452"/>
      <c r="J246" s="452"/>
      <c r="K246" s="291">
        <f>tab_invoices[[#This Row],[Množstvo]]*tab_invoices[[#This Row],[Náklady na jednotku]]</f>
        <v>0</v>
      </c>
      <c r="L246" s="454"/>
      <c r="M246" s="292" t="str">
        <f>IF(ISBLANK(tab_invoices[[#This Row],['#]]),"",VLOOKUP(tab_invoices[[#This Row],['#]],tab_budget[['#]:[Rozpočtová položka]],2,FALSE))</f>
        <v/>
      </c>
      <c r="N246" s="457" t="str">
        <f>IF(ISBLANK(tab_invoices[[#This Row],['#]]),"",VLOOKUP(tab_invoices[[#This Row],['#]],tab_budget[['#]:[Typ výdavku]],7,FALSE))</f>
        <v/>
      </c>
      <c r="O246" s="457" t="str">
        <f>IF(ISBLANK(tab_invoices[[#This Row],['#]]),"",VLOOKUP(tab_invoices[[#This Row],['#]],tab_budget[['#]:[Rozpočtová položka]],8,FALSE))</f>
        <v/>
      </c>
      <c r="P246" s="457" t="str">
        <f>IF(ISBLANK(tab_invoices[[#This Row],['#]]),"",VLOOKUP(tab_invoices[[#This Row],['#]],tab_budget[['#]:[Rozpočtová kapitola]],9,FALSE))</f>
        <v/>
      </c>
      <c r="Q246" s="457" t="str">
        <f>IF(ISBLANK(tab_invoices[[#This Row],['#]]),"",VLOOKUP(tab_invoices[[#This Row],['#]],tab_budget[['#]:[Realizuje]],10,FALSE))</f>
        <v/>
      </c>
      <c r="R246" s="457"/>
      <c r="S246" s="457"/>
    </row>
    <row r="247" spans="1:19" s="307" customFormat="1" ht="10.199999999999999" x14ac:dyDescent="0.2">
      <c r="A247" s="451">
        <f t="shared" si="8"/>
        <v>238</v>
      </c>
      <c r="B247" s="452"/>
      <c r="C247" s="453"/>
      <c r="D247" s="454"/>
      <c r="E247" s="454"/>
      <c r="F247" s="452"/>
      <c r="G247" s="455"/>
      <c r="H247" s="455"/>
      <c r="I247" s="452"/>
      <c r="J247" s="452"/>
      <c r="K247" s="291">
        <f>tab_invoices[[#This Row],[Množstvo]]*tab_invoices[[#This Row],[Náklady na jednotku]]</f>
        <v>0</v>
      </c>
      <c r="L247" s="454"/>
      <c r="M247" s="292" t="str">
        <f>IF(ISBLANK(tab_invoices[[#This Row],['#]]),"",VLOOKUP(tab_invoices[[#This Row],['#]],tab_budget[['#]:[Rozpočtová položka]],2,FALSE))</f>
        <v/>
      </c>
      <c r="N247" s="457" t="str">
        <f>IF(ISBLANK(tab_invoices[[#This Row],['#]]),"",VLOOKUP(tab_invoices[[#This Row],['#]],tab_budget[['#]:[Typ výdavku]],7,FALSE))</f>
        <v/>
      </c>
      <c r="O247" s="457" t="str">
        <f>IF(ISBLANK(tab_invoices[[#This Row],['#]]),"",VLOOKUP(tab_invoices[[#This Row],['#]],tab_budget[['#]:[Rozpočtová položka]],8,FALSE))</f>
        <v/>
      </c>
      <c r="P247" s="457" t="str">
        <f>IF(ISBLANK(tab_invoices[[#This Row],['#]]),"",VLOOKUP(tab_invoices[[#This Row],['#]],tab_budget[['#]:[Rozpočtová kapitola]],9,FALSE))</f>
        <v/>
      </c>
      <c r="Q247" s="457" t="str">
        <f>IF(ISBLANK(tab_invoices[[#This Row],['#]]),"",VLOOKUP(tab_invoices[[#This Row],['#]],tab_budget[['#]:[Realizuje]],10,FALSE))</f>
        <v/>
      </c>
      <c r="R247" s="457"/>
      <c r="S247" s="457"/>
    </row>
    <row r="248" spans="1:19" s="307" customFormat="1" ht="10.199999999999999" x14ac:dyDescent="0.2">
      <c r="A248" s="451">
        <f t="shared" si="8"/>
        <v>239</v>
      </c>
      <c r="B248" s="452"/>
      <c r="C248" s="453"/>
      <c r="D248" s="454"/>
      <c r="E248" s="454"/>
      <c r="F248" s="452"/>
      <c r="G248" s="455"/>
      <c r="H248" s="455"/>
      <c r="I248" s="452"/>
      <c r="J248" s="452"/>
      <c r="K248" s="291">
        <f>tab_invoices[[#This Row],[Množstvo]]*tab_invoices[[#This Row],[Náklady na jednotku]]</f>
        <v>0</v>
      </c>
      <c r="L248" s="454"/>
      <c r="M248" s="292" t="str">
        <f>IF(ISBLANK(tab_invoices[[#This Row],['#]]),"",VLOOKUP(tab_invoices[[#This Row],['#]],tab_budget[['#]:[Rozpočtová položka]],2,FALSE))</f>
        <v/>
      </c>
      <c r="N248" s="457" t="str">
        <f>IF(ISBLANK(tab_invoices[[#This Row],['#]]),"",VLOOKUP(tab_invoices[[#This Row],['#]],tab_budget[['#]:[Typ výdavku]],7,FALSE))</f>
        <v/>
      </c>
      <c r="O248" s="457" t="str">
        <f>IF(ISBLANK(tab_invoices[[#This Row],['#]]),"",VLOOKUP(tab_invoices[[#This Row],['#]],tab_budget[['#]:[Rozpočtová položka]],8,FALSE))</f>
        <v/>
      </c>
      <c r="P248" s="457" t="str">
        <f>IF(ISBLANK(tab_invoices[[#This Row],['#]]),"",VLOOKUP(tab_invoices[[#This Row],['#]],tab_budget[['#]:[Rozpočtová kapitola]],9,FALSE))</f>
        <v/>
      </c>
      <c r="Q248" s="457" t="str">
        <f>IF(ISBLANK(tab_invoices[[#This Row],['#]]),"",VLOOKUP(tab_invoices[[#This Row],['#]],tab_budget[['#]:[Realizuje]],10,FALSE))</f>
        <v/>
      </c>
      <c r="R248" s="457"/>
      <c r="S248" s="457"/>
    </row>
    <row r="249" spans="1:19" s="307" customFormat="1" ht="10.199999999999999" x14ac:dyDescent="0.2">
      <c r="A249" s="451">
        <f t="shared" si="8"/>
        <v>240</v>
      </c>
      <c r="B249" s="452"/>
      <c r="C249" s="453"/>
      <c r="D249" s="454"/>
      <c r="E249" s="454"/>
      <c r="F249" s="452"/>
      <c r="G249" s="455"/>
      <c r="H249" s="455"/>
      <c r="I249" s="452"/>
      <c r="J249" s="452"/>
      <c r="K249" s="291">
        <f>tab_invoices[[#This Row],[Množstvo]]*tab_invoices[[#This Row],[Náklady na jednotku]]</f>
        <v>0</v>
      </c>
      <c r="L249" s="454"/>
      <c r="M249" s="292" t="str">
        <f>IF(ISBLANK(tab_invoices[[#This Row],['#]]),"",VLOOKUP(tab_invoices[[#This Row],['#]],tab_budget[['#]:[Rozpočtová položka]],2,FALSE))</f>
        <v/>
      </c>
      <c r="N249" s="457" t="str">
        <f>IF(ISBLANK(tab_invoices[[#This Row],['#]]),"",VLOOKUP(tab_invoices[[#This Row],['#]],tab_budget[['#]:[Typ výdavku]],7,FALSE))</f>
        <v/>
      </c>
      <c r="O249" s="457" t="str">
        <f>IF(ISBLANK(tab_invoices[[#This Row],['#]]),"",VLOOKUP(tab_invoices[[#This Row],['#]],tab_budget[['#]:[Rozpočtová položka]],8,FALSE))</f>
        <v/>
      </c>
      <c r="P249" s="457" t="str">
        <f>IF(ISBLANK(tab_invoices[[#This Row],['#]]),"",VLOOKUP(tab_invoices[[#This Row],['#]],tab_budget[['#]:[Rozpočtová kapitola]],9,FALSE))</f>
        <v/>
      </c>
      <c r="Q249" s="457" t="str">
        <f>IF(ISBLANK(tab_invoices[[#This Row],['#]]),"",VLOOKUP(tab_invoices[[#This Row],['#]],tab_budget[['#]:[Realizuje]],10,FALSE))</f>
        <v/>
      </c>
      <c r="R249" s="457"/>
      <c r="S249" s="457"/>
    </row>
    <row r="250" spans="1:19" s="307" customFormat="1" ht="10.199999999999999" x14ac:dyDescent="0.2">
      <c r="A250" s="451">
        <f t="shared" si="8"/>
        <v>241</v>
      </c>
      <c r="B250" s="452"/>
      <c r="C250" s="453"/>
      <c r="D250" s="454"/>
      <c r="E250" s="454"/>
      <c r="F250" s="452"/>
      <c r="G250" s="455"/>
      <c r="H250" s="455"/>
      <c r="I250" s="452"/>
      <c r="J250" s="452"/>
      <c r="K250" s="291">
        <f>tab_invoices[[#This Row],[Množstvo]]*tab_invoices[[#This Row],[Náklady na jednotku]]</f>
        <v>0</v>
      </c>
      <c r="L250" s="454"/>
      <c r="M250" s="292" t="str">
        <f>IF(ISBLANK(tab_invoices[[#This Row],['#]]),"",VLOOKUP(tab_invoices[[#This Row],['#]],tab_budget[['#]:[Rozpočtová položka]],2,FALSE))</f>
        <v/>
      </c>
      <c r="N250" s="457" t="str">
        <f>IF(ISBLANK(tab_invoices[[#This Row],['#]]),"",VLOOKUP(tab_invoices[[#This Row],['#]],tab_budget[['#]:[Typ výdavku]],7,FALSE))</f>
        <v/>
      </c>
      <c r="O250" s="457" t="str">
        <f>IF(ISBLANK(tab_invoices[[#This Row],['#]]),"",VLOOKUP(tab_invoices[[#This Row],['#]],tab_budget[['#]:[Rozpočtová položka]],8,FALSE))</f>
        <v/>
      </c>
      <c r="P250" s="457" t="str">
        <f>IF(ISBLANK(tab_invoices[[#This Row],['#]]),"",VLOOKUP(tab_invoices[[#This Row],['#]],tab_budget[['#]:[Rozpočtová kapitola]],9,FALSE))</f>
        <v/>
      </c>
      <c r="Q250" s="457" t="str">
        <f>IF(ISBLANK(tab_invoices[[#This Row],['#]]),"",VLOOKUP(tab_invoices[[#This Row],['#]],tab_budget[['#]:[Realizuje]],10,FALSE))</f>
        <v/>
      </c>
      <c r="R250" s="457"/>
      <c r="S250" s="457"/>
    </row>
    <row r="251" spans="1:19" s="307" customFormat="1" ht="10.199999999999999" x14ac:dyDescent="0.2">
      <c r="A251" s="451">
        <f t="shared" si="8"/>
        <v>242</v>
      </c>
      <c r="B251" s="452"/>
      <c r="C251" s="453"/>
      <c r="D251" s="454"/>
      <c r="E251" s="454"/>
      <c r="F251" s="452"/>
      <c r="G251" s="455"/>
      <c r="H251" s="455"/>
      <c r="I251" s="452"/>
      <c r="J251" s="452"/>
      <c r="K251" s="291">
        <f>tab_invoices[[#This Row],[Množstvo]]*tab_invoices[[#This Row],[Náklady na jednotku]]</f>
        <v>0</v>
      </c>
      <c r="L251" s="454"/>
      <c r="M251" s="292" t="str">
        <f>IF(ISBLANK(tab_invoices[[#This Row],['#]]),"",VLOOKUP(tab_invoices[[#This Row],['#]],tab_budget[['#]:[Rozpočtová položka]],2,FALSE))</f>
        <v/>
      </c>
      <c r="N251" s="457" t="str">
        <f>IF(ISBLANK(tab_invoices[[#This Row],['#]]),"",VLOOKUP(tab_invoices[[#This Row],['#]],tab_budget[['#]:[Typ výdavku]],7,FALSE))</f>
        <v/>
      </c>
      <c r="O251" s="457" t="str">
        <f>IF(ISBLANK(tab_invoices[[#This Row],['#]]),"",VLOOKUP(tab_invoices[[#This Row],['#]],tab_budget[['#]:[Rozpočtová položka]],8,FALSE))</f>
        <v/>
      </c>
      <c r="P251" s="457" t="str">
        <f>IF(ISBLANK(tab_invoices[[#This Row],['#]]),"",VLOOKUP(tab_invoices[[#This Row],['#]],tab_budget[['#]:[Rozpočtová kapitola]],9,FALSE))</f>
        <v/>
      </c>
      <c r="Q251" s="457" t="str">
        <f>IF(ISBLANK(tab_invoices[[#This Row],['#]]),"",VLOOKUP(tab_invoices[[#This Row],['#]],tab_budget[['#]:[Realizuje]],10,FALSE))</f>
        <v/>
      </c>
      <c r="R251" s="457"/>
      <c r="S251" s="457"/>
    </row>
    <row r="252" spans="1:19" s="307" customFormat="1" ht="10.199999999999999" x14ac:dyDescent="0.2">
      <c r="A252" s="451">
        <f t="shared" si="8"/>
        <v>243</v>
      </c>
      <c r="B252" s="452"/>
      <c r="C252" s="453"/>
      <c r="D252" s="454"/>
      <c r="E252" s="454"/>
      <c r="F252" s="452"/>
      <c r="G252" s="455"/>
      <c r="H252" s="455"/>
      <c r="I252" s="452"/>
      <c r="J252" s="452"/>
      <c r="K252" s="291">
        <f>tab_invoices[[#This Row],[Množstvo]]*tab_invoices[[#This Row],[Náklady na jednotku]]</f>
        <v>0</v>
      </c>
      <c r="L252" s="454"/>
      <c r="M252" s="292" t="str">
        <f>IF(ISBLANK(tab_invoices[[#This Row],['#]]),"",VLOOKUP(tab_invoices[[#This Row],['#]],tab_budget[['#]:[Rozpočtová položka]],2,FALSE))</f>
        <v/>
      </c>
      <c r="N252" s="457" t="str">
        <f>IF(ISBLANK(tab_invoices[[#This Row],['#]]),"",VLOOKUP(tab_invoices[[#This Row],['#]],tab_budget[['#]:[Typ výdavku]],7,FALSE))</f>
        <v/>
      </c>
      <c r="O252" s="457" t="str">
        <f>IF(ISBLANK(tab_invoices[[#This Row],['#]]),"",VLOOKUP(tab_invoices[[#This Row],['#]],tab_budget[['#]:[Rozpočtová položka]],8,FALSE))</f>
        <v/>
      </c>
      <c r="P252" s="457" t="str">
        <f>IF(ISBLANK(tab_invoices[[#This Row],['#]]),"",VLOOKUP(tab_invoices[[#This Row],['#]],tab_budget[['#]:[Rozpočtová kapitola]],9,FALSE))</f>
        <v/>
      </c>
      <c r="Q252" s="457" t="str">
        <f>IF(ISBLANK(tab_invoices[[#This Row],['#]]),"",VLOOKUP(tab_invoices[[#This Row],['#]],tab_budget[['#]:[Realizuje]],10,FALSE))</f>
        <v/>
      </c>
      <c r="R252" s="457"/>
      <c r="S252" s="457"/>
    </row>
    <row r="253" spans="1:19" s="307" customFormat="1" ht="10.199999999999999" x14ac:dyDescent="0.2">
      <c r="A253" s="451">
        <f t="shared" si="8"/>
        <v>244</v>
      </c>
      <c r="B253" s="452"/>
      <c r="C253" s="453"/>
      <c r="D253" s="454"/>
      <c r="E253" s="454"/>
      <c r="F253" s="452"/>
      <c r="G253" s="455"/>
      <c r="H253" s="455"/>
      <c r="I253" s="452"/>
      <c r="J253" s="452"/>
      <c r="K253" s="291">
        <f>tab_invoices[[#This Row],[Množstvo]]*tab_invoices[[#This Row],[Náklady na jednotku]]</f>
        <v>0</v>
      </c>
      <c r="L253" s="454"/>
      <c r="M253" s="292" t="str">
        <f>IF(ISBLANK(tab_invoices[[#This Row],['#]]),"",VLOOKUP(tab_invoices[[#This Row],['#]],tab_budget[['#]:[Rozpočtová položka]],2,FALSE))</f>
        <v/>
      </c>
      <c r="N253" s="457" t="str">
        <f>IF(ISBLANK(tab_invoices[[#This Row],['#]]),"",VLOOKUP(tab_invoices[[#This Row],['#]],tab_budget[['#]:[Typ výdavku]],7,FALSE))</f>
        <v/>
      </c>
      <c r="O253" s="457" t="str">
        <f>IF(ISBLANK(tab_invoices[[#This Row],['#]]),"",VLOOKUP(tab_invoices[[#This Row],['#]],tab_budget[['#]:[Rozpočtová položka]],8,FALSE))</f>
        <v/>
      </c>
      <c r="P253" s="457" t="str">
        <f>IF(ISBLANK(tab_invoices[[#This Row],['#]]),"",VLOOKUP(tab_invoices[[#This Row],['#]],tab_budget[['#]:[Rozpočtová kapitola]],9,FALSE))</f>
        <v/>
      </c>
      <c r="Q253" s="457" t="str">
        <f>IF(ISBLANK(tab_invoices[[#This Row],['#]]),"",VLOOKUP(tab_invoices[[#This Row],['#]],tab_budget[['#]:[Realizuje]],10,FALSE))</f>
        <v/>
      </c>
      <c r="R253" s="457"/>
      <c r="S253" s="457"/>
    </row>
    <row r="254" spans="1:19" s="307" customFormat="1" ht="10.199999999999999" x14ac:dyDescent="0.2">
      <c r="A254" s="451">
        <f t="shared" si="8"/>
        <v>245</v>
      </c>
      <c r="B254" s="452"/>
      <c r="C254" s="453"/>
      <c r="D254" s="454"/>
      <c r="E254" s="454"/>
      <c r="F254" s="452"/>
      <c r="G254" s="455"/>
      <c r="H254" s="455"/>
      <c r="I254" s="452"/>
      <c r="J254" s="452"/>
      <c r="K254" s="291">
        <f>tab_invoices[[#This Row],[Množstvo]]*tab_invoices[[#This Row],[Náklady na jednotku]]</f>
        <v>0</v>
      </c>
      <c r="L254" s="454"/>
      <c r="M254" s="292" t="str">
        <f>IF(ISBLANK(tab_invoices[[#This Row],['#]]),"",VLOOKUP(tab_invoices[[#This Row],['#]],tab_budget[['#]:[Rozpočtová položka]],2,FALSE))</f>
        <v/>
      </c>
      <c r="N254" s="457" t="str">
        <f>IF(ISBLANK(tab_invoices[[#This Row],['#]]),"",VLOOKUP(tab_invoices[[#This Row],['#]],tab_budget[['#]:[Typ výdavku]],7,FALSE))</f>
        <v/>
      </c>
      <c r="O254" s="457" t="str">
        <f>IF(ISBLANK(tab_invoices[[#This Row],['#]]),"",VLOOKUP(tab_invoices[[#This Row],['#]],tab_budget[['#]:[Rozpočtová položka]],8,FALSE))</f>
        <v/>
      </c>
      <c r="P254" s="457" t="str">
        <f>IF(ISBLANK(tab_invoices[[#This Row],['#]]),"",VLOOKUP(tab_invoices[[#This Row],['#]],tab_budget[['#]:[Rozpočtová kapitola]],9,FALSE))</f>
        <v/>
      </c>
      <c r="Q254" s="457" t="str">
        <f>IF(ISBLANK(tab_invoices[[#This Row],['#]]),"",VLOOKUP(tab_invoices[[#This Row],['#]],tab_budget[['#]:[Realizuje]],10,FALSE))</f>
        <v/>
      </c>
      <c r="R254" s="457"/>
      <c r="S254" s="457"/>
    </row>
    <row r="255" spans="1:19" s="307" customFormat="1" ht="10.199999999999999" x14ac:dyDescent="0.2">
      <c r="A255" s="451">
        <f t="shared" si="8"/>
        <v>246</v>
      </c>
      <c r="B255" s="452"/>
      <c r="C255" s="453"/>
      <c r="D255" s="454"/>
      <c r="E255" s="454"/>
      <c r="F255" s="452"/>
      <c r="G255" s="455"/>
      <c r="H255" s="455"/>
      <c r="I255" s="452"/>
      <c r="J255" s="452"/>
      <c r="K255" s="291">
        <f>tab_invoices[[#This Row],[Množstvo]]*tab_invoices[[#This Row],[Náklady na jednotku]]</f>
        <v>0</v>
      </c>
      <c r="L255" s="454"/>
      <c r="M255" s="292" t="str">
        <f>IF(ISBLANK(tab_invoices[[#This Row],['#]]),"",VLOOKUP(tab_invoices[[#This Row],['#]],tab_budget[['#]:[Rozpočtová položka]],2,FALSE))</f>
        <v/>
      </c>
      <c r="N255" s="457" t="str">
        <f>IF(ISBLANK(tab_invoices[[#This Row],['#]]),"",VLOOKUP(tab_invoices[[#This Row],['#]],tab_budget[['#]:[Typ výdavku]],7,FALSE))</f>
        <v/>
      </c>
      <c r="O255" s="457" t="str">
        <f>IF(ISBLANK(tab_invoices[[#This Row],['#]]),"",VLOOKUP(tab_invoices[[#This Row],['#]],tab_budget[['#]:[Rozpočtová položka]],8,FALSE))</f>
        <v/>
      </c>
      <c r="P255" s="457" t="str">
        <f>IF(ISBLANK(tab_invoices[[#This Row],['#]]),"",VLOOKUP(tab_invoices[[#This Row],['#]],tab_budget[['#]:[Rozpočtová kapitola]],9,FALSE))</f>
        <v/>
      </c>
      <c r="Q255" s="457" t="str">
        <f>IF(ISBLANK(tab_invoices[[#This Row],['#]]),"",VLOOKUP(tab_invoices[[#This Row],['#]],tab_budget[['#]:[Realizuje]],10,FALSE))</f>
        <v/>
      </c>
      <c r="R255" s="457"/>
      <c r="S255" s="457"/>
    </row>
    <row r="256" spans="1:19" s="307" customFormat="1" ht="10.199999999999999" x14ac:dyDescent="0.2">
      <c r="A256" s="451">
        <f t="shared" si="8"/>
        <v>247</v>
      </c>
      <c r="B256" s="452"/>
      <c r="C256" s="453"/>
      <c r="D256" s="454"/>
      <c r="E256" s="454"/>
      <c r="F256" s="452"/>
      <c r="G256" s="455"/>
      <c r="H256" s="455"/>
      <c r="I256" s="452"/>
      <c r="J256" s="452"/>
      <c r="K256" s="291">
        <f>tab_invoices[[#This Row],[Množstvo]]*tab_invoices[[#This Row],[Náklady na jednotku]]</f>
        <v>0</v>
      </c>
      <c r="L256" s="454"/>
      <c r="M256" s="292" t="str">
        <f>IF(ISBLANK(tab_invoices[[#This Row],['#]]),"",VLOOKUP(tab_invoices[[#This Row],['#]],tab_budget[['#]:[Rozpočtová položka]],2,FALSE))</f>
        <v/>
      </c>
      <c r="N256" s="457" t="str">
        <f>IF(ISBLANK(tab_invoices[[#This Row],['#]]),"",VLOOKUP(tab_invoices[[#This Row],['#]],tab_budget[['#]:[Typ výdavku]],7,FALSE))</f>
        <v/>
      </c>
      <c r="O256" s="457" t="str">
        <f>IF(ISBLANK(tab_invoices[[#This Row],['#]]),"",VLOOKUP(tab_invoices[[#This Row],['#]],tab_budget[['#]:[Rozpočtová položka]],8,FALSE))</f>
        <v/>
      </c>
      <c r="P256" s="457" t="str">
        <f>IF(ISBLANK(tab_invoices[[#This Row],['#]]),"",VLOOKUP(tab_invoices[[#This Row],['#]],tab_budget[['#]:[Rozpočtová kapitola]],9,FALSE))</f>
        <v/>
      </c>
      <c r="Q256" s="457" t="str">
        <f>IF(ISBLANK(tab_invoices[[#This Row],['#]]),"",VLOOKUP(tab_invoices[[#This Row],['#]],tab_budget[['#]:[Realizuje]],10,FALSE))</f>
        <v/>
      </c>
      <c r="R256" s="457"/>
      <c r="S256" s="457"/>
    </row>
    <row r="257" spans="1:19" s="307" customFormat="1" ht="10.199999999999999" x14ac:dyDescent="0.2">
      <c r="A257" s="451">
        <f t="shared" si="8"/>
        <v>248</v>
      </c>
      <c r="B257" s="452"/>
      <c r="C257" s="453"/>
      <c r="D257" s="454"/>
      <c r="E257" s="454"/>
      <c r="F257" s="452"/>
      <c r="G257" s="455"/>
      <c r="H257" s="455"/>
      <c r="I257" s="452"/>
      <c r="J257" s="452"/>
      <c r="K257" s="291">
        <f>tab_invoices[[#This Row],[Množstvo]]*tab_invoices[[#This Row],[Náklady na jednotku]]</f>
        <v>0</v>
      </c>
      <c r="L257" s="454"/>
      <c r="M257" s="292" t="str">
        <f>IF(ISBLANK(tab_invoices[[#This Row],['#]]),"",VLOOKUP(tab_invoices[[#This Row],['#]],tab_budget[['#]:[Rozpočtová položka]],2,FALSE))</f>
        <v/>
      </c>
      <c r="N257" s="457" t="str">
        <f>IF(ISBLANK(tab_invoices[[#This Row],['#]]),"",VLOOKUP(tab_invoices[[#This Row],['#]],tab_budget[['#]:[Typ výdavku]],7,FALSE))</f>
        <v/>
      </c>
      <c r="O257" s="457" t="str">
        <f>IF(ISBLANK(tab_invoices[[#This Row],['#]]),"",VLOOKUP(tab_invoices[[#This Row],['#]],tab_budget[['#]:[Rozpočtová položka]],8,FALSE))</f>
        <v/>
      </c>
      <c r="P257" s="457" t="str">
        <f>IF(ISBLANK(tab_invoices[[#This Row],['#]]),"",VLOOKUP(tab_invoices[[#This Row],['#]],tab_budget[['#]:[Rozpočtová kapitola]],9,FALSE))</f>
        <v/>
      </c>
      <c r="Q257" s="457" t="str">
        <f>IF(ISBLANK(tab_invoices[[#This Row],['#]]),"",VLOOKUP(tab_invoices[[#This Row],['#]],tab_budget[['#]:[Realizuje]],10,FALSE))</f>
        <v/>
      </c>
      <c r="R257" s="457"/>
      <c r="S257" s="457"/>
    </row>
    <row r="258" spans="1:19" s="307" customFormat="1" ht="10.199999999999999" x14ac:dyDescent="0.2">
      <c r="A258" s="451">
        <f t="shared" si="8"/>
        <v>249</v>
      </c>
      <c r="B258" s="452"/>
      <c r="C258" s="453"/>
      <c r="D258" s="454"/>
      <c r="E258" s="454"/>
      <c r="F258" s="452"/>
      <c r="G258" s="455"/>
      <c r="H258" s="455"/>
      <c r="I258" s="452"/>
      <c r="J258" s="452"/>
      <c r="K258" s="291">
        <f>tab_invoices[[#This Row],[Množstvo]]*tab_invoices[[#This Row],[Náklady na jednotku]]</f>
        <v>0</v>
      </c>
      <c r="L258" s="454"/>
      <c r="M258" s="292" t="str">
        <f>IF(ISBLANK(tab_invoices[[#This Row],['#]]),"",VLOOKUP(tab_invoices[[#This Row],['#]],tab_budget[['#]:[Rozpočtová položka]],2,FALSE))</f>
        <v/>
      </c>
      <c r="N258" s="457" t="str">
        <f>IF(ISBLANK(tab_invoices[[#This Row],['#]]),"",VLOOKUP(tab_invoices[[#This Row],['#]],tab_budget[['#]:[Typ výdavku]],7,FALSE))</f>
        <v/>
      </c>
      <c r="O258" s="457" t="str">
        <f>IF(ISBLANK(tab_invoices[[#This Row],['#]]),"",VLOOKUP(tab_invoices[[#This Row],['#]],tab_budget[['#]:[Rozpočtová položka]],8,FALSE))</f>
        <v/>
      </c>
      <c r="P258" s="457" t="str">
        <f>IF(ISBLANK(tab_invoices[[#This Row],['#]]),"",VLOOKUP(tab_invoices[[#This Row],['#]],tab_budget[['#]:[Rozpočtová kapitola]],9,FALSE))</f>
        <v/>
      </c>
      <c r="Q258" s="457" t="str">
        <f>IF(ISBLANK(tab_invoices[[#This Row],['#]]),"",VLOOKUP(tab_invoices[[#This Row],['#]],tab_budget[['#]:[Realizuje]],10,FALSE))</f>
        <v/>
      </c>
      <c r="R258" s="457"/>
      <c r="S258" s="457"/>
    </row>
    <row r="259" spans="1:19" s="307" customFormat="1" ht="10.199999999999999" x14ac:dyDescent="0.2">
      <c r="A259" s="451">
        <f t="shared" si="8"/>
        <v>250</v>
      </c>
      <c r="B259" s="452"/>
      <c r="C259" s="453"/>
      <c r="D259" s="454"/>
      <c r="E259" s="454"/>
      <c r="F259" s="452"/>
      <c r="G259" s="455"/>
      <c r="H259" s="455"/>
      <c r="I259" s="452"/>
      <c r="J259" s="452"/>
      <c r="K259" s="291">
        <f>tab_invoices[[#This Row],[Množstvo]]*tab_invoices[[#This Row],[Náklady na jednotku]]</f>
        <v>0</v>
      </c>
      <c r="L259" s="454"/>
      <c r="M259" s="292" t="str">
        <f>IF(ISBLANK(tab_invoices[[#This Row],['#]]),"",VLOOKUP(tab_invoices[[#This Row],['#]],tab_budget[['#]:[Rozpočtová položka]],2,FALSE))</f>
        <v/>
      </c>
      <c r="N259" s="457" t="str">
        <f>IF(ISBLANK(tab_invoices[[#This Row],['#]]),"",VLOOKUP(tab_invoices[[#This Row],['#]],tab_budget[['#]:[Typ výdavku]],7,FALSE))</f>
        <v/>
      </c>
      <c r="O259" s="457" t="str">
        <f>IF(ISBLANK(tab_invoices[[#This Row],['#]]),"",VLOOKUP(tab_invoices[[#This Row],['#]],tab_budget[['#]:[Rozpočtová položka]],8,FALSE))</f>
        <v/>
      </c>
      <c r="P259" s="457" t="str">
        <f>IF(ISBLANK(tab_invoices[[#This Row],['#]]),"",VLOOKUP(tab_invoices[[#This Row],['#]],tab_budget[['#]:[Rozpočtová kapitola]],9,FALSE))</f>
        <v/>
      </c>
      <c r="Q259" s="457" t="str">
        <f>IF(ISBLANK(tab_invoices[[#This Row],['#]]),"",VLOOKUP(tab_invoices[[#This Row],['#]],tab_budget[['#]:[Realizuje]],10,FALSE))</f>
        <v/>
      </c>
      <c r="R259" s="457"/>
      <c r="S259" s="457"/>
    </row>
    <row r="260" spans="1:19" s="307" customFormat="1" ht="10.199999999999999" x14ac:dyDescent="0.2">
      <c r="A260" s="451">
        <f t="shared" si="8"/>
        <v>251</v>
      </c>
      <c r="B260" s="452"/>
      <c r="C260" s="453"/>
      <c r="D260" s="454"/>
      <c r="E260" s="454"/>
      <c r="F260" s="452"/>
      <c r="G260" s="455"/>
      <c r="H260" s="455"/>
      <c r="I260" s="452"/>
      <c r="J260" s="452"/>
      <c r="K260" s="291">
        <f>tab_invoices[[#This Row],[Množstvo]]*tab_invoices[[#This Row],[Náklady na jednotku]]</f>
        <v>0</v>
      </c>
      <c r="L260" s="454"/>
      <c r="M260" s="292" t="str">
        <f>IF(ISBLANK(tab_invoices[[#This Row],['#]]),"",VLOOKUP(tab_invoices[[#This Row],['#]],tab_budget[['#]:[Rozpočtová položka]],2,FALSE))</f>
        <v/>
      </c>
      <c r="N260" s="457" t="str">
        <f>IF(ISBLANK(tab_invoices[[#This Row],['#]]),"",VLOOKUP(tab_invoices[[#This Row],['#]],tab_budget[['#]:[Typ výdavku]],7,FALSE))</f>
        <v/>
      </c>
      <c r="O260" s="457" t="str">
        <f>IF(ISBLANK(tab_invoices[[#This Row],['#]]),"",VLOOKUP(tab_invoices[[#This Row],['#]],tab_budget[['#]:[Rozpočtová položka]],8,FALSE))</f>
        <v/>
      </c>
      <c r="P260" s="457" t="str">
        <f>IF(ISBLANK(tab_invoices[[#This Row],['#]]),"",VLOOKUP(tab_invoices[[#This Row],['#]],tab_budget[['#]:[Rozpočtová kapitola]],9,FALSE))</f>
        <v/>
      </c>
      <c r="Q260" s="457" t="str">
        <f>IF(ISBLANK(tab_invoices[[#This Row],['#]]),"",VLOOKUP(tab_invoices[[#This Row],['#]],tab_budget[['#]:[Realizuje]],10,FALSE))</f>
        <v/>
      </c>
      <c r="R260" s="457"/>
      <c r="S260" s="457"/>
    </row>
    <row r="261" spans="1:19" s="5" customFormat="1" ht="10.199999999999999" x14ac:dyDescent="0.25">
      <c r="A261" s="290">
        <f t="shared" ref="A261:A269" si="9">ROW(B261)-9</f>
        <v>252</v>
      </c>
      <c r="B261" s="283"/>
      <c r="C261" s="282"/>
      <c r="D261" s="284"/>
      <c r="E261" s="284"/>
      <c r="F261" s="283"/>
      <c r="G261" s="289"/>
      <c r="H261" s="289"/>
      <c r="I261" s="283"/>
      <c r="J261" s="285"/>
      <c r="K261" s="291">
        <f>tab_invoices[[#This Row],[Množstvo]]*tab_invoices[[#This Row],[Náklady na jednotku]]</f>
        <v>0</v>
      </c>
      <c r="L261" s="284"/>
      <c r="M261" s="292" t="str">
        <f>IF(ISBLANK(tab_invoices[[#This Row],['#]]),"",VLOOKUP(tab_invoices[[#This Row],['#]],tab_budget[['#]:[Rozpočtová položka]],2,FALSE))</f>
        <v/>
      </c>
      <c r="N261" s="292" t="str">
        <f>IF(ISBLANK(tab_invoices[[#This Row],['#]]),"",VLOOKUP(tab_invoices[[#This Row],['#]],tab_budget[['#]:[Typ výdavku]],7,FALSE))</f>
        <v/>
      </c>
      <c r="O261" s="292" t="str">
        <f>IF(ISBLANK(tab_invoices[[#This Row],['#]]),"",VLOOKUP(tab_invoices[[#This Row],['#]],tab_budget[['#]:[Rozpočtová položka]],8,FALSE))</f>
        <v/>
      </c>
      <c r="P261" s="292" t="str">
        <f>IF(ISBLANK(tab_invoices[[#This Row],['#]]),"",VLOOKUP(tab_invoices[[#This Row],['#]],tab_budget[['#]:[Rozpočtová kapitola]],9,FALSE))</f>
        <v/>
      </c>
      <c r="Q261" s="292" t="str">
        <f>IF(ISBLANK(tab_invoices[[#This Row],['#]]),"",VLOOKUP(tab_invoices[[#This Row],['#]],tab_budget[['#]:[Realizuje]],10,FALSE))</f>
        <v/>
      </c>
      <c r="R261" s="292"/>
      <c r="S261" s="292"/>
    </row>
    <row r="262" spans="1:19" s="307" customFormat="1" ht="10.199999999999999" x14ac:dyDescent="0.2">
      <c r="A262" s="290">
        <f t="shared" si="9"/>
        <v>253</v>
      </c>
      <c r="B262" s="283"/>
      <c r="C262" s="282"/>
      <c r="D262" s="284"/>
      <c r="E262" s="284"/>
      <c r="F262" s="283"/>
      <c r="G262" s="289"/>
      <c r="H262" s="289"/>
      <c r="I262" s="283"/>
      <c r="J262" s="283"/>
      <c r="K262" s="291">
        <f>tab_invoices[[#This Row],[Množstvo]]*tab_invoices[[#This Row],[Náklady na jednotku]]</f>
        <v>0</v>
      </c>
      <c r="L262" s="284"/>
      <c r="M262" s="292" t="str">
        <f>IF(ISBLANK(tab_invoices[[#This Row],['#]]),"",VLOOKUP(tab_invoices[[#This Row],['#]],tab_budget[['#]:[Rozpočtová položka]],2,FALSE))</f>
        <v/>
      </c>
      <c r="N262" s="292" t="str">
        <f>IF(ISBLANK(tab_invoices[[#This Row],['#]]),"",VLOOKUP(tab_invoices[[#This Row],['#]],tab_budget[['#]:[Typ výdavku]],7,FALSE))</f>
        <v/>
      </c>
      <c r="O262" s="292" t="str">
        <f>IF(ISBLANK(tab_invoices[[#This Row],['#]]),"",VLOOKUP(tab_invoices[[#This Row],['#]],tab_budget[['#]:[Rozpočtová položka]],8,FALSE))</f>
        <v/>
      </c>
      <c r="P262" s="292" t="str">
        <f>IF(ISBLANK(tab_invoices[[#This Row],['#]]),"",VLOOKUP(tab_invoices[[#This Row],['#]],tab_budget[['#]:[Rozpočtová kapitola]],9,FALSE))</f>
        <v/>
      </c>
      <c r="Q262" s="292" t="str">
        <f>IF(ISBLANK(tab_invoices[[#This Row],['#]]),"",VLOOKUP(tab_invoices[[#This Row],['#]],tab_budget[['#]:[Realizuje]],10,FALSE))</f>
        <v/>
      </c>
      <c r="R262" s="292"/>
      <c r="S262" s="292"/>
    </row>
    <row r="263" spans="1:19" s="5" customFormat="1" ht="10.199999999999999" x14ac:dyDescent="0.25">
      <c r="A263" s="290">
        <f t="shared" si="9"/>
        <v>254</v>
      </c>
      <c r="B263" s="283"/>
      <c r="C263" s="282"/>
      <c r="D263" s="284"/>
      <c r="E263" s="284"/>
      <c r="F263" s="283"/>
      <c r="G263" s="289"/>
      <c r="H263" s="289"/>
      <c r="I263" s="283"/>
      <c r="J263" s="285"/>
      <c r="K263" s="291">
        <f>tab_invoices[[#This Row],[Množstvo]]*tab_invoices[[#This Row],[Náklady na jednotku]]</f>
        <v>0</v>
      </c>
      <c r="L263" s="284"/>
      <c r="M263" s="292" t="str">
        <f>IF(ISBLANK(tab_invoices[[#This Row],['#]]),"",VLOOKUP(tab_invoices[[#This Row],['#]],tab_budget[['#]:[Rozpočtová položka]],2,FALSE))</f>
        <v/>
      </c>
      <c r="N263" s="292" t="str">
        <f>IF(ISBLANK(tab_invoices[[#This Row],['#]]),"",VLOOKUP(tab_invoices[[#This Row],['#]],tab_budget[['#]:[Typ výdavku]],7,FALSE))</f>
        <v/>
      </c>
      <c r="O263" s="292" t="str">
        <f>IF(ISBLANK(tab_invoices[[#This Row],['#]]),"",VLOOKUP(tab_invoices[[#This Row],['#]],tab_budget[['#]:[Rozpočtová položka]],8,FALSE))</f>
        <v/>
      </c>
      <c r="P263" s="292" t="str">
        <f>IF(ISBLANK(tab_invoices[[#This Row],['#]]),"",VLOOKUP(tab_invoices[[#This Row],['#]],tab_budget[['#]:[Rozpočtová kapitola]],9,FALSE))</f>
        <v/>
      </c>
      <c r="Q263" s="292" t="str">
        <f>IF(ISBLANK(tab_invoices[[#This Row],['#]]),"",VLOOKUP(tab_invoices[[#This Row],['#]],tab_budget[['#]:[Realizuje]],10,FALSE))</f>
        <v/>
      </c>
      <c r="R263" s="292"/>
      <c r="S263" s="292"/>
    </row>
    <row r="264" spans="1:19" s="5" customFormat="1" ht="10.199999999999999" x14ac:dyDescent="0.25">
      <c r="A264" s="290">
        <f>ROW(B264)-9</f>
        <v>255</v>
      </c>
      <c r="B264" s="283"/>
      <c r="C264" s="282"/>
      <c r="D264" s="284"/>
      <c r="E264" s="284"/>
      <c r="F264" s="283"/>
      <c r="G264" s="289"/>
      <c r="H264" s="289"/>
      <c r="I264" s="283"/>
      <c r="J264" s="285"/>
      <c r="K264" s="291">
        <f>tab_invoices[[#This Row],[Množstvo]]*tab_invoices[[#This Row],[Náklady na jednotku]]</f>
        <v>0</v>
      </c>
      <c r="L264" s="284"/>
      <c r="M264" s="292" t="str">
        <f>IF(ISBLANK(tab_invoices[[#This Row],['#]]),"",VLOOKUP(tab_invoices[[#This Row],['#]],tab_budget[['#]:[Rozpočtová položka]],2,FALSE))</f>
        <v/>
      </c>
      <c r="N264" s="292" t="str">
        <f>IF(ISBLANK(tab_invoices[[#This Row],['#]]),"",VLOOKUP(tab_invoices[[#This Row],['#]],tab_budget[['#]:[Typ výdavku]],7,FALSE))</f>
        <v/>
      </c>
      <c r="O264" s="292" t="str">
        <f>IF(ISBLANK(tab_invoices[[#This Row],['#]]),"",VLOOKUP(tab_invoices[[#This Row],['#]],tab_budget[['#]:[Rozpočtová položka]],8,FALSE))</f>
        <v/>
      </c>
      <c r="P264" s="292" t="str">
        <f>IF(ISBLANK(tab_invoices[[#This Row],['#]]),"",VLOOKUP(tab_invoices[[#This Row],['#]],tab_budget[['#]:[Rozpočtová kapitola]],9,FALSE))</f>
        <v/>
      </c>
      <c r="Q264" s="292" t="str">
        <f>IF(ISBLANK(tab_invoices[[#This Row],['#]]),"",VLOOKUP(tab_invoices[[#This Row],['#]],tab_budget[['#]:[Realizuje]],10,FALSE))</f>
        <v/>
      </c>
      <c r="R264" s="292"/>
      <c r="S264" s="292"/>
    </row>
    <row r="265" spans="1:19" s="5" customFormat="1" ht="10.199999999999999" x14ac:dyDescent="0.25">
      <c r="A265" s="290">
        <f>ROW(B265)-9</f>
        <v>256</v>
      </c>
      <c r="B265" s="283"/>
      <c r="C265" s="282"/>
      <c r="D265" s="284"/>
      <c r="E265" s="284"/>
      <c r="F265" s="283"/>
      <c r="G265" s="289"/>
      <c r="H265" s="289"/>
      <c r="I265" s="283"/>
      <c r="J265" s="285"/>
      <c r="K265" s="291">
        <f>tab_invoices[[#This Row],[Množstvo]]*tab_invoices[[#This Row],[Náklady na jednotku]]</f>
        <v>0</v>
      </c>
      <c r="L265" s="284"/>
      <c r="M265" s="292" t="str">
        <f>IF(ISBLANK(tab_invoices[[#This Row],['#]]),"",VLOOKUP(tab_invoices[[#This Row],['#]],tab_budget[['#]:[Rozpočtová položka]],2,FALSE))</f>
        <v/>
      </c>
      <c r="N265" s="292" t="str">
        <f>IF(ISBLANK(tab_invoices[[#This Row],['#]]),"",VLOOKUP(tab_invoices[[#This Row],['#]],tab_budget[['#]:[Typ výdavku]],7,FALSE))</f>
        <v/>
      </c>
      <c r="O265" s="292" t="str">
        <f>IF(ISBLANK(tab_invoices[[#This Row],['#]]),"",VLOOKUP(tab_invoices[[#This Row],['#]],tab_budget[['#]:[Rozpočtová položka]],8,FALSE))</f>
        <v/>
      </c>
      <c r="P265" s="292" t="str">
        <f>IF(ISBLANK(tab_invoices[[#This Row],['#]]),"",VLOOKUP(tab_invoices[[#This Row],['#]],tab_budget[['#]:[Rozpočtová kapitola]],9,FALSE))</f>
        <v/>
      </c>
      <c r="Q265" s="292" t="str">
        <f>IF(ISBLANK(tab_invoices[[#This Row],['#]]),"",VLOOKUP(tab_invoices[[#This Row],['#]],tab_budget[['#]:[Realizuje]],10,FALSE))</f>
        <v/>
      </c>
      <c r="R265" s="292"/>
      <c r="S265" s="292"/>
    </row>
    <row r="266" spans="1:19" s="5" customFormat="1" ht="10.199999999999999" x14ac:dyDescent="0.25">
      <c r="A266" s="290">
        <f t="shared" si="9"/>
        <v>257</v>
      </c>
      <c r="B266" s="283"/>
      <c r="C266" s="282"/>
      <c r="D266" s="284"/>
      <c r="E266" s="284"/>
      <c r="F266" s="283"/>
      <c r="G266" s="289"/>
      <c r="H266" s="289"/>
      <c r="I266" s="283"/>
      <c r="J266" s="285"/>
      <c r="K266" s="291">
        <f>tab_invoices[[#This Row],[Množstvo]]*tab_invoices[[#This Row],[Náklady na jednotku]]</f>
        <v>0</v>
      </c>
      <c r="L266" s="284"/>
      <c r="M266" s="292" t="str">
        <f>IF(ISBLANK(tab_invoices[[#This Row],['#]]),"",VLOOKUP(tab_invoices[[#This Row],['#]],tab_budget[['#]:[Rozpočtová položka]],2,FALSE))</f>
        <v/>
      </c>
      <c r="N266" s="292" t="str">
        <f>IF(ISBLANK(tab_invoices[[#This Row],['#]]),"",VLOOKUP(tab_invoices[[#This Row],['#]],tab_budget[['#]:[Typ výdavku]],7,FALSE))</f>
        <v/>
      </c>
      <c r="O266" s="292" t="str">
        <f>IF(ISBLANK(tab_invoices[[#This Row],['#]]),"",VLOOKUP(tab_invoices[[#This Row],['#]],tab_budget[['#]:[Rozpočtová položka]],8,FALSE))</f>
        <v/>
      </c>
      <c r="P266" s="292" t="str">
        <f>IF(ISBLANK(tab_invoices[[#This Row],['#]]),"",VLOOKUP(tab_invoices[[#This Row],['#]],tab_budget[['#]:[Rozpočtová kapitola]],9,FALSE))</f>
        <v/>
      </c>
      <c r="Q266" s="292" t="str">
        <f>IF(ISBLANK(tab_invoices[[#This Row],['#]]),"",VLOOKUP(tab_invoices[[#This Row],['#]],tab_budget[['#]:[Realizuje]],10,FALSE))</f>
        <v/>
      </c>
      <c r="R266" s="292"/>
      <c r="S266" s="292"/>
    </row>
    <row r="267" spans="1:19" s="5" customFormat="1" ht="10.199999999999999" x14ac:dyDescent="0.25">
      <c r="A267" s="290">
        <f t="shared" si="9"/>
        <v>258</v>
      </c>
      <c r="B267" s="283"/>
      <c r="C267" s="282"/>
      <c r="D267" s="284"/>
      <c r="E267" s="284"/>
      <c r="F267" s="283"/>
      <c r="G267" s="289"/>
      <c r="H267" s="289"/>
      <c r="I267" s="283"/>
      <c r="J267" s="285"/>
      <c r="K267" s="291">
        <f>tab_invoices[[#This Row],[Množstvo]]*tab_invoices[[#This Row],[Náklady na jednotku]]</f>
        <v>0</v>
      </c>
      <c r="L267" s="284"/>
      <c r="M267" s="292" t="str">
        <f>IF(ISBLANK(tab_invoices[[#This Row],['#]]),"",VLOOKUP(tab_invoices[[#This Row],['#]],tab_budget[['#]:[Rozpočtová položka]],2,FALSE))</f>
        <v/>
      </c>
      <c r="N267" s="292" t="str">
        <f>IF(ISBLANK(tab_invoices[[#This Row],['#]]),"",VLOOKUP(tab_invoices[[#This Row],['#]],tab_budget[['#]:[Typ výdavku]],7,FALSE))</f>
        <v/>
      </c>
      <c r="O267" s="292" t="str">
        <f>IF(ISBLANK(tab_invoices[[#This Row],['#]]),"",VLOOKUP(tab_invoices[[#This Row],['#]],tab_budget[['#]:[Rozpočtová položka]],8,FALSE))</f>
        <v/>
      </c>
      <c r="P267" s="292" t="str">
        <f>IF(ISBLANK(tab_invoices[[#This Row],['#]]),"",VLOOKUP(tab_invoices[[#This Row],['#]],tab_budget[['#]:[Rozpočtová kapitola]],9,FALSE))</f>
        <v/>
      </c>
      <c r="Q267" s="292" t="str">
        <f>IF(ISBLANK(tab_invoices[[#This Row],['#]]),"",VLOOKUP(tab_invoices[[#This Row],['#]],tab_budget[['#]:[Realizuje]],10,FALSE))</f>
        <v/>
      </c>
      <c r="R267" s="292"/>
      <c r="S267" s="292"/>
    </row>
    <row r="268" spans="1:19" s="5" customFormat="1" ht="10.199999999999999" x14ac:dyDescent="0.25">
      <c r="A268" s="290">
        <f t="shared" si="9"/>
        <v>259</v>
      </c>
      <c r="B268" s="283"/>
      <c r="C268" s="282"/>
      <c r="D268" s="284"/>
      <c r="E268" s="284"/>
      <c r="F268" s="283"/>
      <c r="G268" s="289"/>
      <c r="H268" s="289"/>
      <c r="I268" s="283"/>
      <c r="J268" s="285"/>
      <c r="K268" s="291">
        <f>tab_invoices[[#This Row],[Množstvo]]*tab_invoices[[#This Row],[Náklady na jednotku]]</f>
        <v>0</v>
      </c>
      <c r="L268" s="284"/>
      <c r="M268" s="292" t="str">
        <f>IF(ISBLANK(tab_invoices[[#This Row],['#]]),"",VLOOKUP(tab_invoices[[#This Row],['#]],tab_budget[['#]:[Rozpočtová položka]],2,FALSE))</f>
        <v/>
      </c>
      <c r="N268" s="292" t="str">
        <f>IF(ISBLANK(tab_invoices[[#This Row],['#]]),"",VLOOKUP(tab_invoices[[#This Row],['#]],tab_budget[['#]:[Typ výdavku]],7,FALSE))</f>
        <v/>
      </c>
      <c r="O268" s="292" t="str">
        <f>IF(ISBLANK(tab_invoices[[#This Row],['#]]),"",VLOOKUP(tab_invoices[[#This Row],['#]],tab_budget[['#]:[Rozpočtová položka]],8,FALSE))</f>
        <v/>
      </c>
      <c r="P268" s="292" t="str">
        <f>IF(ISBLANK(tab_invoices[[#This Row],['#]]),"",VLOOKUP(tab_invoices[[#This Row],['#]],tab_budget[['#]:[Rozpočtová kapitola]],9,FALSE))</f>
        <v/>
      </c>
      <c r="Q268" s="292" t="str">
        <f>IF(ISBLANK(tab_invoices[[#This Row],['#]]),"",VLOOKUP(tab_invoices[[#This Row],['#]],tab_budget[['#]:[Realizuje]],10,FALSE))</f>
        <v/>
      </c>
      <c r="R268" s="292"/>
      <c r="S268" s="292"/>
    </row>
    <row r="269" spans="1:19" s="5" customFormat="1" ht="10.199999999999999" x14ac:dyDescent="0.25">
      <c r="A269" s="290">
        <f t="shared" si="9"/>
        <v>260</v>
      </c>
      <c r="B269" s="283"/>
      <c r="C269" s="282"/>
      <c r="D269" s="284"/>
      <c r="E269" s="284"/>
      <c r="F269" s="283"/>
      <c r="G269" s="289"/>
      <c r="H269" s="289"/>
      <c r="I269" s="283"/>
      <c r="J269" s="285"/>
      <c r="K269" s="291">
        <f>tab_invoices[[#This Row],[Množstvo]]*tab_invoices[[#This Row],[Náklady na jednotku]]</f>
        <v>0</v>
      </c>
      <c r="L269" s="284"/>
      <c r="M269" s="292" t="str">
        <f>IF(ISBLANK(tab_invoices[[#This Row],['#]]),"",VLOOKUP(tab_invoices[[#This Row],['#]],tab_budget[['#]:[Rozpočtová položka]],2,FALSE))</f>
        <v/>
      </c>
      <c r="N269" s="292" t="str">
        <f>IF(ISBLANK(tab_invoices[[#This Row],['#]]),"",VLOOKUP(tab_invoices[[#This Row],['#]],tab_budget[['#]:[Typ výdavku]],7,FALSE))</f>
        <v/>
      </c>
      <c r="O269" s="292" t="str">
        <f>IF(ISBLANK(tab_invoices[[#This Row],['#]]),"",VLOOKUP(tab_invoices[[#This Row],['#]],tab_budget[['#]:[Rozpočtová položka]],8,FALSE))</f>
        <v/>
      </c>
      <c r="P269" s="292" t="str">
        <f>IF(ISBLANK(tab_invoices[[#This Row],['#]]),"",VLOOKUP(tab_invoices[[#This Row],['#]],tab_budget[['#]:[Rozpočtová kapitola]],9,FALSE))</f>
        <v/>
      </c>
      <c r="Q269" s="292" t="str">
        <f>IF(ISBLANK(tab_invoices[[#This Row],['#]]),"",VLOOKUP(tab_invoices[[#This Row],['#]],tab_budget[['#]:[Realizuje]],10,FALSE))</f>
        <v/>
      </c>
      <c r="R269" s="292"/>
      <c r="S269" s="292"/>
    </row>
    <row r="270" spans="1:19" s="5" customFormat="1" ht="10.199999999999999" x14ac:dyDescent="0.25">
      <c r="A270" s="290">
        <f t="shared" ref="A270:A292" si="10">ROW(B270)-9</f>
        <v>261</v>
      </c>
      <c r="B270" s="283"/>
      <c r="C270" s="282"/>
      <c r="D270" s="284"/>
      <c r="E270" s="284"/>
      <c r="F270" s="283"/>
      <c r="G270" s="289"/>
      <c r="H270" s="289"/>
      <c r="I270" s="283"/>
      <c r="J270" s="285"/>
      <c r="K270" s="291">
        <f>tab_invoices[[#This Row],[Množstvo]]*tab_invoices[[#This Row],[Náklady na jednotku]]</f>
        <v>0</v>
      </c>
      <c r="L270" s="284"/>
      <c r="M270" s="292" t="str">
        <f>IF(ISBLANK(tab_invoices[[#This Row],['#]]),"",VLOOKUP(tab_invoices[[#This Row],['#]],tab_budget[['#]:[Rozpočtová položka]],2,FALSE))</f>
        <v/>
      </c>
      <c r="N270" s="292" t="str">
        <f>IF(ISBLANK(tab_invoices[[#This Row],['#]]),"",VLOOKUP(tab_invoices[[#This Row],['#]],tab_budget[['#]:[Typ výdavku]],7,FALSE))</f>
        <v/>
      </c>
      <c r="O270" s="292" t="str">
        <f>IF(ISBLANK(tab_invoices[[#This Row],['#]]),"",VLOOKUP(tab_invoices[[#This Row],['#]],tab_budget[['#]:[Rozpočtová položka]],8,FALSE))</f>
        <v/>
      </c>
      <c r="P270" s="292" t="str">
        <f>IF(ISBLANK(tab_invoices[[#This Row],['#]]),"",VLOOKUP(tab_invoices[[#This Row],['#]],tab_budget[['#]:[Rozpočtová kapitola]],9,FALSE))</f>
        <v/>
      </c>
      <c r="Q270" s="292" t="str">
        <f>IF(ISBLANK(tab_invoices[[#This Row],['#]]),"",VLOOKUP(tab_invoices[[#This Row],['#]],tab_budget[['#]:[Realizuje]],10,FALSE))</f>
        <v/>
      </c>
      <c r="R270" s="292"/>
      <c r="S270" s="292"/>
    </row>
    <row r="271" spans="1:19" s="5" customFormat="1" ht="10.199999999999999" x14ac:dyDescent="0.25">
      <c r="A271" s="290">
        <f t="shared" si="10"/>
        <v>262</v>
      </c>
      <c r="B271" s="283"/>
      <c r="C271" s="282"/>
      <c r="D271" s="284"/>
      <c r="E271" s="284"/>
      <c r="F271" s="283"/>
      <c r="G271" s="289"/>
      <c r="H271" s="289"/>
      <c r="I271" s="283"/>
      <c r="J271" s="285"/>
      <c r="K271" s="291">
        <f>tab_invoices[[#This Row],[Množstvo]]*tab_invoices[[#This Row],[Náklady na jednotku]]</f>
        <v>0</v>
      </c>
      <c r="L271" s="284"/>
      <c r="M271" s="292" t="str">
        <f>IF(ISBLANK(tab_invoices[[#This Row],['#]]),"",VLOOKUP(tab_invoices[[#This Row],['#]],tab_budget[['#]:[Rozpočtová položka]],2,FALSE))</f>
        <v/>
      </c>
      <c r="N271" s="292" t="str">
        <f>IF(ISBLANK(tab_invoices[[#This Row],['#]]),"",VLOOKUP(tab_invoices[[#This Row],['#]],tab_budget[['#]:[Typ výdavku]],7,FALSE))</f>
        <v/>
      </c>
      <c r="O271" s="292" t="str">
        <f>IF(ISBLANK(tab_invoices[[#This Row],['#]]),"",VLOOKUP(tab_invoices[[#This Row],['#]],tab_budget[['#]:[Rozpočtová položka]],8,FALSE))</f>
        <v/>
      </c>
      <c r="P271" s="292" t="str">
        <f>IF(ISBLANK(tab_invoices[[#This Row],['#]]),"",VLOOKUP(tab_invoices[[#This Row],['#]],tab_budget[['#]:[Rozpočtová kapitola]],9,FALSE))</f>
        <v/>
      </c>
      <c r="Q271" s="292" t="str">
        <f>IF(ISBLANK(tab_invoices[[#This Row],['#]]),"",VLOOKUP(tab_invoices[[#This Row],['#]],tab_budget[['#]:[Realizuje]],10,FALSE))</f>
        <v/>
      </c>
      <c r="R271" s="292"/>
      <c r="S271" s="292"/>
    </row>
    <row r="272" spans="1:19" s="5" customFormat="1" ht="10.199999999999999" x14ac:dyDescent="0.25">
      <c r="A272" s="290">
        <f t="shared" si="10"/>
        <v>263</v>
      </c>
      <c r="B272" s="283"/>
      <c r="C272" s="282"/>
      <c r="D272" s="284"/>
      <c r="E272" s="284"/>
      <c r="F272" s="283"/>
      <c r="G272" s="289"/>
      <c r="H272" s="289"/>
      <c r="I272" s="283"/>
      <c r="J272" s="285"/>
      <c r="K272" s="291">
        <f>tab_invoices[[#This Row],[Množstvo]]*tab_invoices[[#This Row],[Náklady na jednotku]]</f>
        <v>0</v>
      </c>
      <c r="L272" s="284"/>
      <c r="M272" s="292" t="str">
        <f>IF(ISBLANK(tab_invoices[[#This Row],['#]]),"",VLOOKUP(tab_invoices[[#This Row],['#]],tab_budget[['#]:[Rozpočtová položka]],2,FALSE))</f>
        <v/>
      </c>
      <c r="N272" s="292" t="str">
        <f>IF(ISBLANK(tab_invoices[[#This Row],['#]]),"",VLOOKUP(tab_invoices[[#This Row],['#]],tab_budget[['#]:[Typ výdavku]],7,FALSE))</f>
        <v/>
      </c>
      <c r="O272" s="292" t="str">
        <f>IF(ISBLANK(tab_invoices[[#This Row],['#]]),"",VLOOKUP(tab_invoices[[#This Row],['#]],tab_budget[['#]:[Rozpočtová položka]],8,FALSE))</f>
        <v/>
      </c>
      <c r="P272" s="292" t="str">
        <f>IF(ISBLANK(tab_invoices[[#This Row],['#]]),"",VLOOKUP(tab_invoices[[#This Row],['#]],tab_budget[['#]:[Rozpočtová kapitola]],9,FALSE))</f>
        <v/>
      </c>
      <c r="Q272" s="292" t="str">
        <f>IF(ISBLANK(tab_invoices[[#This Row],['#]]),"",VLOOKUP(tab_invoices[[#This Row],['#]],tab_budget[['#]:[Realizuje]],10,FALSE))</f>
        <v/>
      </c>
      <c r="R272" s="292"/>
      <c r="S272" s="292"/>
    </row>
    <row r="273" spans="1:19" s="5" customFormat="1" ht="10.199999999999999" x14ac:dyDescent="0.25">
      <c r="A273" s="290">
        <f t="shared" si="10"/>
        <v>264</v>
      </c>
      <c r="B273" s="283"/>
      <c r="C273" s="282"/>
      <c r="D273" s="284"/>
      <c r="E273" s="284"/>
      <c r="F273" s="283"/>
      <c r="G273" s="289"/>
      <c r="H273" s="289"/>
      <c r="I273" s="283"/>
      <c r="J273" s="285"/>
      <c r="K273" s="291">
        <f>tab_invoices[[#This Row],[Množstvo]]*tab_invoices[[#This Row],[Náklady na jednotku]]</f>
        <v>0</v>
      </c>
      <c r="L273" s="284"/>
      <c r="M273" s="292" t="str">
        <f>IF(ISBLANK(tab_invoices[[#This Row],['#]]),"",VLOOKUP(tab_invoices[[#This Row],['#]],tab_budget[['#]:[Rozpočtová položka]],2,FALSE))</f>
        <v/>
      </c>
      <c r="N273" s="292" t="str">
        <f>IF(ISBLANK(tab_invoices[[#This Row],['#]]),"",VLOOKUP(tab_invoices[[#This Row],['#]],tab_budget[['#]:[Typ výdavku]],7,FALSE))</f>
        <v/>
      </c>
      <c r="O273" s="292" t="str">
        <f>IF(ISBLANK(tab_invoices[[#This Row],['#]]),"",VLOOKUP(tab_invoices[[#This Row],['#]],tab_budget[['#]:[Rozpočtová položka]],8,FALSE))</f>
        <v/>
      </c>
      <c r="P273" s="292" t="str">
        <f>IF(ISBLANK(tab_invoices[[#This Row],['#]]),"",VLOOKUP(tab_invoices[[#This Row],['#]],tab_budget[['#]:[Rozpočtová kapitola]],9,FALSE))</f>
        <v/>
      </c>
      <c r="Q273" s="292" t="str">
        <f>IF(ISBLANK(tab_invoices[[#This Row],['#]]),"",VLOOKUP(tab_invoices[[#This Row],['#]],tab_budget[['#]:[Realizuje]],10,FALSE))</f>
        <v/>
      </c>
      <c r="R273" s="292"/>
      <c r="S273" s="292"/>
    </row>
    <row r="274" spans="1:19" s="5" customFormat="1" ht="10.199999999999999" x14ac:dyDescent="0.25">
      <c r="A274" s="290">
        <f t="shared" si="10"/>
        <v>265</v>
      </c>
      <c r="B274" s="283"/>
      <c r="C274" s="282"/>
      <c r="D274" s="284"/>
      <c r="E274" s="284"/>
      <c r="F274" s="283"/>
      <c r="G274" s="289"/>
      <c r="H274" s="289"/>
      <c r="I274" s="283"/>
      <c r="J274" s="285"/>
      <c r="K274" s="291">
        <f>tab_invoices[[#This Row],[Množstvo]]*tab_invoices[[#This Row],[Náklady na jednotku]]</f>
        <v>0</v>
      </c>
      <c r="L274" s="284"/>
      <c r="M274" s="292" t="str">
        <f>IF(ISBLANK(tab_invoices[[#This Row],['#]]),"",VLOOKUP(tab_invoices[[#This Row],['#]],tab_budget[['#]:[Rozpočtová položka]],2,FALSE))</f>
        <v/>
      </c>
      <c r="N274" s="292" t="str">
        <f>IF(ISBLANK(tab_invoices[[#This Row],['#]]),"",VLOOKUP(tab_invoices[[#This Row],['#]],tab_budget[['#]:[Typ výdavku]],7,FALSE))</f>
        <v/>
      </c>
      <c r="O274" s="292" t="str">
        <f>IF(ISBLANK(tab_invoices[[#This Row],['#]]),"",VLOOKUP(tab_invoices[[#This Row],['#]],tab_budget[['#]:[Rozpočtová položka]],8,FALSE))</f>
        <v/>
      </c>
      <c r="P274" s="292" t="str">
        <f>IF(ISBLANK(tab_invoices[[#This Row],['#]]),"",VLOOKUP(tab_invoices[[#This Row],['#]],tab_budget[['#]:[Rozpočtová kapitola]],9,FALSE))</f>
        <v/>
      </c>
      <c r="Q274" s="292" t="str">
        <f>IF(ISBLANK(tab_invoices[[#This Row],['#]]),"",VLOOKUP(tab_invoices[[#This Row],['#]],tab_budget[['#]:[Realizuje]],10,FALSE))</f>
        <v/>
      </c>
      <c r="R274" s="292"/>
      <c r="S274" s="292"/>
    </row>
    <row r="275" spans="1:19" s="5" customFormat="1" ht="10.199999999999999" x14ac:dyDescent="0.25">
      <c r="A275" s="451">
        <f t="shared" ref="A275:A291" si="11">ROW(B275)-9</f>
        <v>266</v>
      </c>
      <c r="B275" s="452"/>
      <c r="C275" s="453"/>
      <c r="D275" s="454"/>
      <c r="E275" s="454"/>
      <c r="F275" s="452"/>
      <c r="G275" s="455"/>
      <c r="H275" s="455"/>
      <c r="I275" s="452"/>
      <c r="J275" s="456"/>
      <c r="K275" s="291">
        <f>tab_invoices[[#This Row],[Množstvo]]*tab_invoices[[#This Row],[Náklady na jednotku]]</f>
        <v>0</v>
      </c>
      <c r="L275" s="454"/>
      <c r="M275" s="292" t="str">
        <f>IF(ISBLANK(tab_invoices[[#This Row],['#]]),"",VLOOKUP(tab_invoices[[#This Row],['#]],tab_budget[['#]:[Rozpočtová položka]],2,FALSE))</f>
        <v/>
      </c>
      <c r="N275" s="457" t="str">
        <f>IF(ISBLANK(tab_invoices[[#This Row],['#]]),"",VLOOKUP(tab_invoices[[#This Row],['#]],tab_budget[['#]:[Typ výdavku]],7,FALSE))</f>
        <v/>
      </c>
      <c r="O275" s="457" t="str">
        <f>IF(ISBLANK(tab_invoices[[#This Row],['#]]),"",VLOOKUP(tab_invoices[[#This Row],['#]],tab_budget[['#]:[Rozpočtová položka]],8,FALSE))</f>
        <v/>
      </c>
      <c r="P275" s="457" t="str">
        <f>IF(ISBLANK(tab_invoices[[#This Row],['#]]),"",VLOOKUP(tab_invoices[[#This Row],['#]],tab_budget[['#]:[Rozpočtová kapitola]],9,FALSE))</f>
        <v/>
      </c>
      <c r="Q275" s="457" t="str">
        <f>IF(ISBLANK(tab_invoices[[#This Row],['#]]),"",VLOOKUP(tab_invoices[[#This Row],['#]],tab_budget[['#]:[Realizuje]],10,FALSE))</f>
        <v/>
      </c>
      <c r="R275" s="457"/>
      <c r="S275" s="457"/>
    </row>
    <row r="276" spans="1:19" s="5" customFormat="1" ht="10.199999999999999" x14ac:dyDescent="0.25">
      <c r="A276" s="451">
        <f t="shared" si="11"/>
        <v>267</v>
      </c>
      <c r="B276" s="452"/>
      <c r="C276" s="453"/>
      <c r="D276" s="454"/>
      <c r="E276" s="454"/>
      <c r="F276" s="452"/>
      <c r="G276" s="455"/>
      <c r="H276" s="455"/>
      <c r="I276" s="452"/>
      <c r="J276" s="456"/>
      <c r="K276" s="291">
        <f>tab_invoices[[#This Row],[Množstvo]]*tab_invoices[[#This Row],[Náklady na jednotku]]</f>
        <v>0</v>
      </c>
      <c r="L276" s="454"/>
      <c r="M276" s="292" t="str">
        <f>IF(ISBLANK(tab_invoices[[#This Row],['#]]),"",VLOOKUP(tab_invoices[[#This Row],['#]],tab_budget[['#]:[Rozpočtová položka]],2,FALSE))</f>
        <v/>
      </c>
      <c r="N276" s="457" t="str">
        <f>IF(ISBLANK(tab_invoices[[#This Row],['#]]),"",VLOOKUP(tab_invoices[[#This Row],['#]],tab_budget[['#]:[Typ výdavku]],7,FALSE))</f>
        <v/>
      </c>
      <c r="O276" s="457" t="str">
        <f>IF(ISBLANK(tab_invoices[[#This Row],['#]]),"",VLOOKUP(tab_invoices[[#This Row],['#]],tab_budget[['#]:[Rozpočtová položka]],8,FALSE))</f>
        <v/>
      </c>
      <c r="P276" s="457" t="str">
        <f>IF(ISBLANK(tab_invoices[[#This Row],['#]]),"",VLOOKUP(tab_invoices[[#This Row],['#]],tab_budget[['#]:[Rozpočtová kapitola]],9,FALSE))</f>
        <v/>
      </c>
      <c r="Q276" s="457" t="str">
        <f>IF(ISBLANK(tab_invoices[[#This Row],['#]]),"",VLOOKUP(tab_invoices[[#This Row],['#]],tab_budget[['#]:[Realizuje]],10,FALSE))</f>
        <v/>
      </c>
      <c r="R276" s="457"/>
      <c r="S276" s="457"/>
    </row>
    <row r="277" spans="1:19" s="5" customFormat="1" ht="10.199999999999999" x14ac:dyDescent="0.25">
      <c r="A277" s="451">
        <f t="shared" si="11"/>
        <v>268</v>
      </c>
      <c r="B277" s="452"/>
      <c r="C277" s="453"/>
      <c r="D277" s="454"/>
      <c r="E277" s="454"/>
      <c r="F277" s="452"/>
      <c r="G277" s="455"/>
      <c r="H277" s="455"/>
      <c r="I277" s="452"/>
      <c r="J277" s="456"/>
      <c r="K277" s="291">
        <f>tab_invoices[[#This Row],[Množstvo]]*tab_invoices[[#This Row],[Náklady na jednotku]]</f>
        <v>0</v>
      </c>
      <c r="L277" s="454"/>
      <c r="M277" s="292" t="str">
        <f>IF(ISBLANK(tab_invoices[[#This Row],['#]]),"",VLOOKUP(tab_invoices[[#This Row],['#]],tab_budget[['#]:[Rozpočtová položka]],2,FALSE))</f>
        <v/>
      </c>
      <c r="N277" s="457" t="str">
        <f>IF(ISBLANK(tab_invoices[[#This Row],['#]]),"",VLOOKUP(tab_invoices[[#This Row],['#]],tab_budget[['#]:[Typ výdavku]],7,FALSE))</f>
        <v/>
      </c>
      <c r="O277" s="457" t="str">
        <f>IF(ISBLANK(tab_invoices[[#This Row],['#]]),"",VLOOKUP(tab_invoices[[#This Row],['#]],tab_budget[['#]:[Rozpočtová položka]],8,FALSE))</f>
        <v/>
      </c>
      <c r="P277" s="457" t="str">
        <f>IF(ISBLANK(tab_invoices[[#This Row],['#]]),"",VLOOKUP(tab_invoices[[#This Row],['#]],tab_budget[['#]:[Rozpočtová kapitola]],9,FALSE))</f>
        <v/>
      </c>
      <c r="Q277" s="457" t="str">
        <f>IF(ISBLANK(tab_invoices[[#This Row],['#]]),"",VLOOKUP(tab_invoices[[#This Row],['#]],tab_budget[['#]:[Realizuje]],10,FALSE))</f>
        <v/>
      </c>
      <c r="R277" s="457"/>
      <c r="S277" s="457"/>
    </row>
    <row r="278" spans="1:19" s="5" customFormat="1" ht="10.199999999999999" x14ac:dyDescent="0.25">
      <c r="A278" s="451">
        <f t="shared" si="11"/>
        <v>269</v>
      </c>
      <c r="B278" s="452"/>
      <c r="C278" s="453"/>
      <c r="D278" s="454"/>
      <c r="E278" s="454"/>
      <c r="F278" s="452"/>
      <c r="G278" s="455"/>
      <c r="H278" s="455"/>
      <c r="I278" s="452"/>
      <c r="J278" s="456"/>
      <c r="K278" s="291">
        <f>tab_invoices[[#This Row],[Množstvo]]*tab_invoices[[#This Row],[Náklady na jednotku]]</f>
        <v>0</v>
      </c>
      <c r="L278" s="454"/>
      <c r="M278" s="292" t="str">
        <f>IF(ISBLANK(tab_invoices[[#This Row],['#]]),"",VLOOKUP(tab_invoices[[#This Row],['#]],tab_budget[['#]:[Rozpočtová položka]],2,FALSE))</f>
        <v/>
      </c>
      <c r="N278" s="457" t="str">
        <f>IF(ISBLANK(tab_invoices[[#This Row],['#]]),"",VLOOKUP(tab_invoices[[#This Row],['#]],tab_budget[['#]:[Typ výdavku]],7,FALSE))</f>
        <v/>
      </c>
      <c r="O278" s="457" t="str">
        <f>IF(ISBLANK(tab_invoices[[#This Row],['#]]),"",VLOOKUP(tab_invoices[[#This Row],['#]],tab_budget[['#]:[Rozpočtová položka]],8,FALSE))</f>
        <v/>
      </c>
      <c r="P278" s="457" t="str">
        <f>IF(ISBLANK(tab_invoices[[#This Row],['#]]),"",VLOOKUP(tab_invoices[[#This Row],['#]],tab_budget[['#]:[Rozpočtová kapitola]],9,FALSE))</f>
        <v/>
      </c>
      <c r="Q278" s="457" t="str">
        <f>IF(ISBLANK(tab_invoices[[#This Row],['#]]),"",VLOOKUP(tab_invoices[[#This Row],['#]],tab_budget[['#]:[Realizuje]],10,FALSE))</f>
        <v/>
      </c>
      <c r="R278" s="457"/>
      <c r="S278" s="457"/>
    </row>
    <row r="279" spans="1:19" s="5" customFormat="1" ht="10.199999999999999" x14ac:dyDescent="0.25">
      <c r="A279" s="451">
        <f t="shared" si="11"/>
        <v>270</v>
      </c>
      <c r="B279" s="452"/>
      <c r="C279" s="453"/>
      <c r="D279" s="454"/>
      <c r="E279" s="454"/>
      <c r="F279" s="452"/>
      <c r="G279" s="455"/>
      <c r="H279" s="455"/>
      <c r="I279" s="452"/>
      <c r="J279" s="456"/>
      <c r="K279" s="291">
        <f>tab_invoices[[#This Row],[Množstvo]]*tab_invoices[[#This Row],[Náklady na jednotku]]</f>
        <v>0</v>
      </c>
      <c r="L279" s="454"/>
      <c r="M279" s="292" t="str">
        <f>IF(ISBLANK(tab_invoices[[#This Row],['#]]),"",VLOOKUP(tab_invoices[[#This Row],['#]],tab_budget[['#]:[Rozpočtová položka]],2,FALSE))</f>
        <v/>
      </c>
      <c r="N279" s="457" t="str">
        <f>IF(ISBLANK(tab_invoices[[#This Row],['#]]),"",VLOOKUP(tab_invoices[[#This Row],['#]],tab_budget[['#]:[Typ výdavku]],7,FALSE))</f>
        <v/>
      </c>
      <c r="O279" s="457" t="str">
        <f>IF(ISBLANK(tab_invoices[[#This Row],['#]]),"",VLOOKUP(tab_invoices[[#This Row],['#]],tab_budget[['#]:[Rozpočtová položka]],8,FALSE))</f>
        <v/>
      </c>
      <c r="P279" s="457" t="str">
        <f>IF(ISBLANK(tab_invoices[[#This Row],['#]]),"",VLOOKUP(tab_invoices[[#This Row],['#]],tab_budget[['#]:[Rozpočtová kapitola]],9,FALSE))</f>
        <v/>
      </c>
      <c r="Q279" s="457" t="str">
        <f>IF(ISBLANK(tab_invoices[[#This Row],['#]]),"",VLOOKUP(tab_invoices[[#This Row],['#]],tab_budget[['#]:[Realizuje]],10,FALSE))</f>
        <v/>
      </c>
      <c r="R279" s="457"/>
      <c r="S279" s="457"/>
    </row>
    <row r="280" spans="1:19" s="5" customFormat="1" ht="10.199999999999999" x14ac:dyDescent="0.25">
      <c r="A280" s="451">
        <f t="shared" si="11"/>
        <v>271</v>
      </c>
      <c r="B280" s="452"/>
      <c r="C280" s="453"/>
      <c r="D280" s="454"/>
      <c r="E280" s="454"/>
      <c r="F280" s="452"/>
      <c r="G280" s="455"/>
      <c r="H280" s="455"/>
      <c r="I280" s="452"/>
      <c r="J280" s="456"/>
      <c r="K280" s="291">
        <f>tab_invoices[[#This Row],[Množstvo]]*tab_invoices[[#This Row],[Náklady na jednotku]]</f>
        <v>0</v>
      </c>
      <c r="L280" s="454"/>
      <c r="M280" s="292" t="str">
        <f>IF(ISBLANK(tab_invoices[[#This Row],['#]]),"",VLOOKUP(tab_invoices[[#This Row],['#]],tab_budget[['#]:[Rozpočtová položka]],2,FALSE))</f>
        <v/>
      </c>
      <c r="N280" s="457" t="str">
        <f>IF(ISBLANK(tab_invoices[[#This Row],['#]]),"",VLOOKUP(tab_invoices[[#This Row],['#]],tab_budget[['#]:[Typ výdavku]],7,FALSE))</f>
        <v/>
      </c>
      <c r="O280" s="457" t="str">
        <f>IF(ISBLANK(tab_invoices[[#This Row],['#]]),"",VLOOKUP(tab_invoices[[#This Row],['#]],tab_budget[['#]:[Rozpočtová položka]],8,FALSE))</f>
        <v/>
      </c>
      <c r="P280" s="457" t="str">
        <f>IF(ISBLANK(tab_invoices[[#This Row],['#]]),"",VLOOKUP(tab_invoices[[#This Row],['#]],tab_budget[['#]:[Rozpočtová kapitola]],9,FALSE))</f>
        <v/>
      </c>
      <c r="Q280" s="457" t="str">
        <f>IF(ISBLANK(tab_invoices[[#This Row],['#]]),"",VLOOKUP(tab_invoices[[#This Row],['#]],tab_budget[['#]:[Realizuje]],10,FALSE))</f>
        <v/>
      </c>
      <c r="R280" s="457"/>
      <c r="S280" s="457"/>
    </row>
    <row r="281" spans="1:19" s="5" customFormat="1" ht="10.199999999999999" x14ac:dyDescent="0.25">
      <c r="A281" s="451">
        <f t="shared" si="11"/>
        <v>272</v>
      </c>
      <c r="B281" s="452"/>
      <c r="C281" s="453"/>
      <c r="D281" s="454"/>
      <c r="E281" s="454"/>
      <c r="F281" s="452"/>
      <c r="G281" s="455"/>
      <c r="H281" s="455"/>
      <c r="I281" s="452"/>
      <c r="J281" s="456"/>
      <c r="K281" s="291">
        <f>tab_invoices[[#This Row],[Množstvo]]*tab_invoices[[#This Row],[Náklady na jednotku]]</f>
        <v>0</v>
      </c>
      <c r="L281" s="454"/>
      <c r="M281" s="292" t="str">
        <f>IF(ISBLANK(tab_invoices[[#This Row],['#]]),"",VLOOKUP(tab_invoices[[#This Row],['#]],tab_budget[['#]:[Rozpočtová položka]],2,FALSE))</f>
        <v/>
      </c>
      <c r="N281" s="457" t="str">
        <f>IF(ISBLANK(tab_invoices[[#This Row],['#]]),"",VLOOKUP(tab_invoices[[#This Row],['#]],tab_budget[['#]:[Typ výdavku]],7,FALSE))</f>
        <v/>
      </c>
      <c r="O281" s="457" t="str">
        <f>IF(ISBLANK(tab_invoices[[#This Row],['#]]),"",VLOOKUP(tab_invoices[[#This Row],['#]],tab_budget[['#]:[Rozpočtová položka]],8,FALSE))</f>
        <v/>
      </c>
      <c r="P281" s="457" t="str">
        <f>IF(ISBLANK(tab_invoices[[#This Row],['#]]),"",VLOOKUP(tab_invoices[[#This Row],['#]],tab_budget[['#]:[Rozpočtová kapitola]],9,FALSE))</f>
        <v/>
      </c>
      <c r="Q281" s="457" t="str">
        <f>IF(ISBLANK(tab_invoices[[#This Row],['#]]),"",VLOOKUP(tab_invoices[[#This Row],['#]],tab_budget[['#]:[Realizuje]],10,FALSE))</f>
        <v/>
      </c>
      <c r="R281" s="457"/>
      <c r="S281" s="457"/>
    </row>
    <row r="282" spans="1:19" s="5" customFormat="1" ht="10.199999999999999" x14ac:dyDescent="0.25">
      <c r="A282" s="451">
        <f t="shared" si="11"/>
        <v>273</v>
      </c>
      <c r="B282" s="452"/>
      <c r="C282" s="453"/>
      <c r="D282" s="454"/>
      <c r="E282" s="454"/>
      <c r="F282" s="452"/>
      <c r="G282" s="455"/>
      <c r="H282" s="455"/>
      <c r="I282" s="452"/>
      <c r="J282" s="456"/>
      <c r="K282" s="291">
        <f>tab_invoices[[#This Row],[Množstvo]]*tab_invoices[[#This Row],[Náklady na jednotku]]</f>
        <v>0</v>
      </c>
      <c r="L282" s="454"/>
      <c r="M282" s="292" t="str">
        <f>IF(ISBLANK(tab_invoices[[#This Row],['#]]),"",VLOOKUP(tab_invoices[[#This Row],['#]],tab_budget[['#]:[Rozpočtová položka]],2,FALSE))</f>
        <v/>
      </c>
      <c r="N282" s="457" t="str">
        <f>IF(ISBLANK(tab_invoices[[#This Row],['#]]),"",VLOOKUP(tab_invoices[[#This Row],['#]],tab_budget[['#]:[Typ výdavku]],7,FALSE))</f>
        <v/>
      </c>
      <c r="O282" s="457" t="str">
        <f>IF(ISBLANK(tab_invoices[[#This Row],['#]]),"",VLOOKUP(tab_invoices[[#This Row],['#]],tab_budget[['#]:[Rozpočtová položka]],8,FALSE))</f>
        <v/>
      </c>
      <c r="P282" s="457" t="str">
        <f>IF(ISBLANK(tab_invoices[[#This Row],['#]]),"",VLOOKUP(tab_invoices[[#This Row],['#]],tab_budget[['#]:[Rozpočtová kapitola]],9,FALSE))</f>
        <v/>
      </c>
      <c r="Q282" s="457" t="str">
        <f>IF(ISBLANK(tab_invoices[[#This Row],['#]]),"",VLOOKUP(tab_invoices[[#This Row],['#]],tab_budget[['#]:[Realizuje]],10,FALSE))</f>
        <v/>
      </c>
      <c r="R282" s="457"/>
      <c r="S282" s="457"/>
    </row>
    <row r="283" spans="1:19" s="5" customFormat="1" ht="10.199999999999999" x14ac:dyDescent="0.25">
      <c r="A283" s="451">
        <f t="shared" si="11"/>
        <v>274</v>
      </c>
      <c r="B283" s="452"/>
      <c r="C283" s="453"/>
      <c r="D283" s="454"/>
      <c r="E283" s="454"/>
      <c r="F283" s="452"/>
      <c r="G283" s="455"/>
      <c r="H283" s="455"/>
      <c r="I283" s="452"/>
      <c r="J283" s="456"/>
      <c r="K283" s="291">
        <f>tab_invoices[[#This Row],[Množstvo]]*tab_invoices[[#This Row],[Náklady na jednotku]]</f>
        <v>0</v>
      </c>
      <c r="L283" s="454"/>
      <c r="M283" s="292" t="str">
        <f>IF(ISBLANK(tab_invoices[[#This Row],['#]]),"",VLOOKUP(tab_invoices[[#This Row],['#]],tab_budget[['#]:[Rozpočtová položka]],2,FALSE))</f>
        <v/>
      </c>
      <c r="N283" s="457" t="str">
        <f>IF(ISBLANK(tab_invoices[[#This Row],['#]]),"",VLOOKUP(tab_invoices[[#This Row],['#]],tab_budget[['#]:[Typ výdavku]],7,FALSE))</f>
        <v/>
      </c>
      <c r="O283" s="457" t="str">
        <f>IF(ISBLANK(tab_invoices[[#This Row],['#]]),"",VLOOKUP(tab_invoices[[#This Row],['#]],tab_budget[['#]:[Rozpočtová položka]],8,FALSE))</f>
        <v/>
      </c>
      <c r="P283" s="457" t="str">
        <f>IF(ISBLANK(tab_invoices[[#This Row],['#]]),"",VLOOKUP(tab_invoices[[#This Row],['#]],tab_budget[['#]:[Rozpočtová kapitola]],9,FALSE))</f>
        <v/>
      </c>
      <c r="Q283" s="457" t="str">
        <f>IF(ISBLANK(tab_invoices[[#This Row],['#]]),"",VLOOKUP(tab_invoices[[#This Row],['#]],tab_budget[['#]:[Realizuje]],10,FALSE))</f>
        <v/>
      </c>
      <c r="R283" s="457"/>
      <c r="S283" s="457"/>
    </row>
    <row r="284" spans="1:19" s="5" customFormat="1" ht="10.199999999999999" x14ac:dyDescent="0.25">
      <c r="A284" s="451">
        <f t="shared" si="11"/>
        <v>275</v>
      </c>
      <c r="B284" s="452"/>
      <c r="C284" s="453"/>
      <c r="D284" s="454"/>
      <c r="E284" s="454"/>
      <c r="F284" s="452"/>
      <c r="G284" s="455"/>
      <c r="H284" s="455"/>
      <c r="I284" s="452"/>
      <c r="J284" s="456"/>
      <c r="K284" s="291">
        <f>tab_invoices[[#This Row],[Množstvo]]*tab_invoices[[#This Row],[Náklady na jednotku]]</f>
        <v>0</v>
      </c>
      <c r="L284" s="454"/>
      <c r="M284" s="292" t="str">
        <f>IF(ISBLANK(tab_invoices[[#This Row],['#]]),"",VLOOKUP(tab_invoices[[#This Row],['#]],tab_budget[['#]:[Rozpočtová položka]],2,FALSE))</f>
        <v/>
      </c>
      <c r="N284" s="457" t="str">
        <f>IF(ISBLANK(tab_invoices[[#This Row],['#]]),"",VLOOKUP(tab_invoices[[#This Row],['#]],tab_budget[['#]:[Typ výdavku]],7,FALSE))</f>
        <v/>
      </c>
      <c r="O284" s="457" t="str">
        <f>IF(ISBLANK(tab_invoices[[#This Row],['#]]),"",VLOOKUP(tab_invoices[[#This Row],['#]],tab_budget[['#]:[Rozpočtová položka]],8,FALSE))</f>
        <v/>
      </c>
      <c r="P284" s="457" t="str">
        <f>IF(ISBLANK(tab_invoices[[#This Row],['#]]),"",VLOOKUP(tab_invoices[[#This Row],['#]],tab_budget[['#]:[Rozpočtová kapitola]],9,FALSE))</f>
        <v/>
      </c>
      <c r="Q284" s="457" t="str">
        <f>IF(ISBLANK(tab_invoices[[#This Row],['#]]),"",VLOOKUP(tab_invoices[[#This Row],['#]],tab_budget[['#]:[Realizuje]],10,FALSE))</f>
        <v/>
      </c>
      <c r="R284" s="457"/>
      <c r="S284" s="457"/>
    </row>
    <row r="285" spans="1:19" s="5" customFormat="1" ht="10.199999999999999" x14ac:dyDescent="0.25">
      <c r="A285" s="451">
        <f t="shared" si="11"/>
        <v>276</v>
      </c>
      <c r="B285" s="452"/>
      <c r="C285" s="453"/>
      <c r="D285" s="454"/>
      <c r="E285" s="454"/>
      <c r="F285" s="452"/>
      <c r="G285" s="455"/>
      <c r="H285" s="455"/>
      <c r="I285" s="452"/>
      <c r="J285" s="456"/>
      <c r="K285" s="291">
        <f>tab_invoices[[#This Row],[Množstvo]]*tab_invoices[[#This Row],[Náklady na jednotku]]</f>
        <v>0</v>
      </c>
      <c r="L285" s="454"/>
      <c r="M285" s="292" t="str">
        <f>IF(ISBLANK(tab_invoices[[#This Row],['#]]),"",VLOOKUP(tab_invoices[[#This Row],['#]],tab_budget[['#]:[Rozpočtová položka]],2,FALSE))</f>
        <v/>
      </c>
      <c r="N285" s="457" t="str">
        <f>IF(ISBLANK(tab_invoices[[#This Row],['#]]),"",VLOOKUP(tab_invoices[[#This Row],['#]],tab_budget[['#]:[Typ výdavku]],7,FALSE))</f>
        <v/>
      </c>
      <c r="O285" s="457" t="str">
        <f>IF(ISBLANK(tab_invoices[[#This Row],['#]]),"",VLOOKUP(tab_invoices[[#This Row],['#]],tab_budget[['#]:[Rozpočtová položka]],8,FALSE))</f>
        <v/>
      </c>
      <c r="P285" s="457" t="str">
        <f>IF(ISBLANK(tab_invoices[[#This Row],['#]]),"",VLOOKUP(tab_invoices[[#This Row],['#]],tab_budget[['#]:[Rozpočtová kapitola]],9,FALSE))</f>
        <v/>
      </c>
      <c r="Q285" s="457" t="str">
        <f>IF(ISBLANK(tab_invoices[[#This Row],['#]]),"",VLOOKUP(tab_invoices[[#This Row],['#]],tab_budget[['#]:[Realizuje]],10,FALSE))</f>
        <v/>
      </c>
      <c r="R285" s="457"/>
      <c r="S285" s="457"/>
    </row>
    <row r="286" spans="1:19" s="5" customFormat="1" ht="10.199999999999999" x14ac:dyDescent="0.25">
      <c r="A286" s="451">
        <f t="shared" si="11"/>
        <v>277</v>
      </c>
      <c r="B286" s="452"/>
      <c r="C286" s="453"/>
      <c r="D286" s="454"/>
      <c r="E286" s="454"/>
      <c r="F286" s="452"/>
      <c r="G286" s="455"/>
      <c r="H286" s="455"/>
      <c r="I286" s="452"/>
      <c r="J286" s="456"/>
      <c r="K286" s="291">
        <f>tab_invoices[[#This Row],[Množstvo]]*tab_invoices[[#This Row],[Náklady na jednotku]]</f>
        <v>0</v>
      </c>
      <c r="L286" s="454"/>
      <c r="M286" s="292" t="str">
        <f>IF(ISBLANK(tab_invoices[[#This Row],['#]]),"",VLOOKUP(tab_invoices[[#This Row],['#]],tab_budget[['#]:[Rozpočtová položka]],2,FALSE))</f>
        <v/>
      </c>
      <c r="N286" s="457" t="str">
        <f>IF(ISBLANK(tab_invoices[[#This Row],['#]]),"",VLOOKUP(tab_invoices[[#This Row],['#]],tab_budget[['#]:[Typ výdavku]],7,FALSE))</f>
        <v/>
      </c>
      <c r="O286" s="457" t="str">
        <f>IF(ISBLANK(tab_invoices[[#This Row],['#]]),"",VLOOKUP(tab_invoices[[#This Row],['#]],tab_budget[['#]:[Rozpočtová položka]],8,FALSE))</f>
        <v/>
      </c>
      <c r="P286" s="457" t="str">
        <f>IF(ISBLANK(tab_invoices[[#This Row],['#]]),"",VLOOKUP(tab_invoices[[#This Row],['#]],tab_budget[['#]:[Rozpočtová kapitola]],9,FALSE))</f>
        <v/>
      </c>
      <c r="Q286" s="457" t="str">
        <f>IF(ISBLANK(tab_invoices[[#This Row],['#]]),"",VLOOKUP(tab_invoices[[#This Row],['#]],tab_budget[['#]:[Realizuje]],10,FALSE))</f>
        <v/>
      </c>
      <c r="R286" s="457"/>
      <c r="S286" s="457"/>
    </row>
    <row r="287" spans="1:19" s="5" customFormat="1" ht="10.199999999999999" x14ac:dyDescent="0.25">
      <c r="A287" s="451">
        <f t="shared" si="11"/>
        <v>278</v>
      </c>
      <c r="B287" s="452"/>
      <c r="C287" s="453"/>
      <c r="D287" s="454"/>
      <c r="E287" s="454"/>
      <c r="F287" s="452"/>
      <c r="G287" s="455"/>
      <c r="H287" s="455"/>
      <c r="I287" s="452"/>
      <c r="J287" s="456"/>
      <c r="K287" s="291">
        <f>tab_invoices[[#This Row],[Množstvo]]*tab_invoices[[#This Row],[Náklady na jednotku]]</f>
        <v>0</v>
      </c>
      <c r="L287" s="454"/>
      <c r="M287" s="292" t="str">
        <f>IF(ISBLANK(tab_invoices[[#This Row],['#]]),"",VLOOKUP(tab_invoices[[#This Row],['#]],tab_budget[['#]:[Rozpočtová položka]],2,FALSE))</f>
        <v/>
      </c>
      <c r="N287" s="457" t="str">
        <f>IF(ISBLANK(tab_invoices[[#This Row],['#]]),"",VLOOKUP(tab_invoices[[#This Row],['#]],tab_budget[['#]:[Typ výdavku]],7,FALSE))</f>
        <v/>
      </c>
      <c r="O287" s="457" t="str">
        <f>IF(ISBLANK(tab_invoices[[#This Row],['#]]),"",VLOOKUP(tab_invoices[[#This Row],['#]],tab_budget[['#]:[Rozpočtová položka]],8,FALSE))</f>
        <v/>
      </c>
      <c r="P287" s="457" t="str">
        <f>IF(ISBLANK(tab_invoices[[#This Row],['#]]),"",VLOOKUP(tab_invoices[[#This Row],['#]],tab_budget[['#]:[Rozpočtová kapitola]],9,FALSE))</f>
        <v/>
      </c>
      <c r="Q287" s="457" t="str">
        <f>IF(ISBLANK(tab_invoices[[#This Row],['#]]),"",VLOOKUP(tab_invoices[[#This Row],['#]],tab_budget[['#]:[Realizuje]],10,FALSE))</f>
        <v/>
      </c>
      <c r="R287" s="457"/>
      <c r="S287" s="457"/>
    </row>
    <row r="288" spans="1:19" s="5" customFormat="1" ht="10.199999999999999" x14ac:dyDescent="0.25">
      <c r="A288" s="451">
        <f t="shared" si="11"/>
        <v>279</v>
      </c>
      <c r="B288" s="452"/>
      <c r="C288" s="453"/>
      <c r="D288" s="454"/>
      <c r="E288" s="454"/>
      <c r="F288" s="452"/>
      <c r="G288" s="455"/>
      <c r="H288" s="455"/>
      <c r="I288" s="452"/>
      <c r="J288" s="456"/>
      <c r="K288" s="291">
        <f>tab_invoices[[#This Row],[Množstvo]]*tab_invoices[[#This Row],[Náklady na jednotku]]</f>
        <v>0</v>
      </c>
      <c r="L288" s="454"/>
      <c r="M288" s="292" t="str">
        <f>IF(ISBLANK(tab_invoices[[#This Row],['#]]),"",VLOOKUP(tab_invoices[[#This Row],['#]],tab_budget[['#]:[Rozpočtová položka]],2,FALSE))</f>
        <v/>
      </c>
      <c r="N288" s="457" t="str">
        <f>IF(ISBLANK(tab_invoices[[#This Row],['#]]),"",VLOOKUP(tab_invoices[[#This Row],['#]],tab_budget[['#]:[Typ výdavku]],7,FALSE))</f>
        <v/>
      </c>
      <c r="O288" s="457" t="str">
        <f>IF(ISBLANK(tab_invoices[[#This Row],['#]]),"",VLOOKUP(tab_invoices[[#This Row],['#]],tab_budget[['#]:[Rozpočtová položka]],8,FALSE))</f>
        <v/>
      </c>
      <c r="P288" s="457" t="str">
        <f>IF(ISBLANK(tab_invoices[[#This Row],['#]]),"",VLOOKUP(tab_invoices[[#This Row],['#]],tab_budget[['#]:[Rozpočtová kapitola]],9,FALSE))</f>
        <v/>
      </c>
      <c r="Q288" s="457" t="str">
        <f>IF(ISBLANK(tab_invoices[[#This Row],['#]]),"",VLOOKUP(tab_invoices[[#This Row],['#]],tab_budget[['#]:[Realizuje]],10,FALSE))</f>
        <v/>
      </c>
      <c r="R288" s="457"/>
      <c r="S288" s="457"/>
    </row>
    <row r="289" spans="1:19" s="5" customFormat="1" ht="10.199999999999999" x14ac:dyDescent="0.25">
      <c r="A289" s="451">
        <f t="shared" si="11"/>
        <v>280</v>
      </c>
      <c r="B289" s="452"/>
      <c r="C289" s="453"/>
      <c r="D289" s="454"/>
      <c r="E289" s="454"/>
      <c r="F289" s="452"/>
      <c r="G289" s="455"/>
      <c r="H289" s="455"/>
      <c r="I289" s="452"/>
      <c r="J289" s="456"/>
      <c r="K289" s="291">
        <f>tab_invoices[[#This Row],[Množstvo]]*tab_invoices[[#This Row],[Náklady na jednotku]]</f>
        <v>0</v>
      </c>
      <c r="L289" s="454"/>
      <c r="M289" s="292" t="str">
        <f>IF(ISBLANK(tab_invoices[[#This Row],['#]]),"",VLOOKUP(tab_invoices[[#This Row],['#]],tab_budget[['#]:[Rozpočtová položka]],2,FALSE))</f>
        <v/>
      </c>
      <c r="N289" s="457" t="str">
        <f>IF(ISBLANK(tab_invoices[[#This Row],['#]]),"",VLOOKUP(tab_invoices[[#This Row],['#]],tab_budget[['#]:[Typ výdavku]],7,FALSE))</f>
        <v/>
      </c>
      <c r="O289" s="457" t="str">
        <f>IF(ISBLANK(tab_invoices[[#This Row],['#]]),"",VLOOKUP(tab_invoices[[#This Row],['#]],tab_budget[['#]:[Rozpočtová položka]],8,FALSE))</f>
        <v/>
      </c>
      <c r="P289" s="457" t="str">
        <f>IF(ISBLANK(tab_invoices[[#This Row],['#]]),"",VLOOKUP(tab_invoices[[#This Row],['#]],tab_budget[['#]:[Rozpočtová kapitola]],9,FALSE))</f>
        <v/>
      </c>
      <c r="Q289" s="457" t="str">
        <f>IF(ISBLANK(tab_invoices[[#This Row],['#]]),"",VLOOKUP(tab_invoices[[#This Row],['#]],tab_budget[['#]:[Realizuje]],10,FALSE))</f>
        <v/>
      </c>
      <c r="R289" s="457"/>
      <c r="S289" s="457"/>
    </row>
    <row r="290" spans="1:19" s="5" customFormat="1" ht="10.199999999999999" x14ac:dyDescent="0.25">
      <c r="A290" s="451">
        <f t="shared" si="11"/>
        <v>281</v>
      </c>
      <c r="B290" s="452"/>
      <c r="C290" s="453"/>
      <c r="D290" s="454"/>
      <c r="E290" s="454"/>
      <c r="F290" s="452"/>
      <c r="G290" s="455"/>
      <c r="H290" s="455"/>
      <c r="I290" s="452"/>
      <c r="J290" s="456"/>
      <c r="K290" s="291">
        <f>tab_invoices[[#This Row],[Množstvo]]*tab_invoices[[#This Row],[Náklady na jednotku]]</f>
        <v>0</v>
      </c>
      <c r="L290" s="454"/>
      <c r="M290" s="292" t="str">
        <f>IF(ISBLANK(tab_invoices[[#This Row],['#]]),"",VLOOKUP(tab_invoices[[#This Row],['#]],tab_budget[['#]:[Rozpočtová položka]],2,FALSE))</f>
        <v/>
      </c>
      <c r="N290" s="457" t="str">
        <f>IF(ISBLANK(tab_invoices[[#This Row],['#]]),"",VLOOKUP(tab_invoices[[#This Row],['#]],tab_budget[['#]:[Typ výdavku]],7,FALSE))</f>
        <v/>
      </c>
      <c r="O290" s="457" t="str">
        <f>IF(ISBLANK(tab_invoices[[#This Row],['#]]),"",VLOOKUP(tab_invoices[[#This Row],['#]],tab_budget[['#]:[Rozpočtová položka]],8,FALSE))</f>
        <v/>
      </c>
      <c r="P290" s="457" t="str">
        <f>IF(ISBLANK(tab_invoices[[#This Row],['#]]),"",VLOOKUP(tab_invoices[[#This Row],['#]],tab_budget[['#]:[Rozpočtová kapitola]],9,FALSE))</f>
        <v/>
      </c>
      <c r="Q290" s="457" t="str">
        <f>IF(ISBLANK(tab_invoices[[#This Row],['#]]),"",VLOOKUP(tab_invoices[[#This Row],['#]],tab_budget[['#]:[Realizuje]],10,FALSE))</f>
        <v/>
      </c>
      <c r="R290" s="457"/>
      <c r="S290" s="457"/>
    </row>
    <row r="291" spans="1:19" s="5" customFormat="1" ht="10.199999999999999" x14ac:dyDescent="0.25">
      <c r="A291" s="451">
        <f t="shared" si="11"/>
        <v>282</v>
      </c>
      <c r="B291" s="452"/>
      <c r="C291" s="453"/>
      <c r="D291" s="454"/>
      <c r="E291" s="454"/>
      <c r="F291" s="452"/>
      <c r="G291" s="455"/>
      <c r="H291" s="455"/>
      <c r="I291" s="452"/>
      <c r="J291" s="456"/>
      <c r="K291" s="291">
        <f>tab_invoices[[#This Row],[Množstvo]]*tab_invoices[[#This Row],[Náklady na jednotku]]</f>
        <v>0</v>
      </c>
      <c r="L291" s="454"/>
      <c r="M291" s="292" t="str">
        <f>IF(ISBLANK(tab_invoices[[#This Row],['#]]),"",VLOOKUP(tab_invoices[[#This Row],['#]],tab_budget[['#]:[Rozpočtová položka]],2,FALSE))</f>
        <v/>
      </c>
      <c r="N291" s="457" t="str">
        <f>IF(ISBLANK(tab_invoices[[#This Row],['#]]),"",VLOOKUP(tab_invoices[[#This Row],['#]],tab_budget[['#]:[Typ výdavku]],7,FALSE))</f>
        <v/>
      </c>
      <c r="O291" s="457" t="str">
        <f>IF(ISBLANK(tab_invoices[[#This Row],['#]]),"",VLOOKUP(tab_invoices[[#This Row],['#]],tab_budget[['#]:[Rozpočtová položka]],8,FALSE))</f>
        <v/>
      </c>
      <c r="P291" s="457" t="str">
        <f>IF(ISBLANK(tab_invoices[[#This Row],['#]]),"",VLOOKUP(tab_invoices[[#This Row],['#]],tab_budget[['#]:[Rozpočtová kapitola]],9,FALSE))</f>
        <v/>
      </c>
      <c r="Q291" s="457" t="str">
        <f>IF(ISBLANK(tab_invoices[[#This Row],['#]]),"",VLOOKUP(tab_invoices[[#This Row],['#]],tab_budget[['#]:[Realizuje]],10,FALSE))</f>
        <v/>
      </c>
      <c r="R291" s="457"/>
      <c r="S291" s="457"/>
    </row>
    <row r="292" spans="1:19" s="5" customFormat="1" ht="10.199999999999999" x14ac:dyDescent="0.25">
      <c r="A292" s="290">
        <f t="shared" si="10"/>
        <v>283</v>
      </c>
      <c r="B292" s="283"/>
      <c r="C292" s="282"/>
      <c r="D292" s="284"/>
      <c r="E292" s="284"/>
      <c r="F292" s="283"/>
      <c r="G292" s="289"/>
      <c r="H292" s="289"/>
      <c r="I292" s="283"/>
      <c r="J292" s="285"/>
      <c r="K292" s="291">
        <f>tab_invoices[[#This Row],[Množstvo]]*tab_invoices[[#This Row],[Náklady na jednotku]]</f>
        <v>0</v>
      </c>
      <c r="L292" s="284"/>
      <c r="M292" s="292" t="str">
        <f>IF(ISBLANK(tab_invoices[[#This Row],['#]]),"",VLOOKUP(tab_invoices[[#This Row],['#]],tab_budget[['#]:[Rozpočtová položka]],2,FALSE))</f>
        <v/>
      </c>
      <c r="N292" s="292" t="str">
        <f>IF(ISBLANK(tab_invoices[[#This Row],['#]]),"",VLOOKUP(tab_invoices[[#This Row],['#]],tab_budget[['#]:[Typ výdavku]],7,FALSE))</f>
        <v/>
      </c>
      <c r="O292" s="292" t="str">
        <f>IF(ISBLANK(tab_invoices[[#This Row],['#]]),"",VLOOKUP(tab_invoices[[#This Row],['#]],tab_budget[['#]:[Rozpočtová položka]],8,FALSE))</f>
        <v/>
      </c>
      <c r="P292" s="292" t="str">
        <f>IF(ISBLANK(tab_invoices[[#This Row],['#]]),"",VLOOKUP(tab_invoices[[#This Row],['#]],tab_budget[['#]:[Rozpočtová kapitola]],9,FALSE))</f>
        <v/>
      </c>
      <c r="Q292" s="292" t="str">
        <f>IF(ISBLANK(tab_invoices[[#This Row],['#]]),"",VLOOKUP(tab_invoices[[#This Row],['#]],tab_budget[['#]:[Realizuje]],10,FALSE))</f>
        <v/>
      </c>
      <c r="R292" s="292"/>
      <c r="S292" s="292"/>
    </row>
    <row r="293" spans="1:19" s="5" customFormat="1" ht="10.199999999999999" x14ac:dyDescent="0.25">
      <c r="A293" s="290">
        <f t="shared" ref="A293:A311" si="12">ROW(B293)-9</f>
        <v>284</v>
      </c>
      <c r="B293" s="283"/>
      <c r="C293" s="282"/>
      <c r="D293" s="284"/>
      <c r="E293" s="284"/>
      <c r="F293" s="283"/>
      <c r="G293" s="289"/>
      <c r="H293" s="289"/>
      <c r="I293" s="283"/>
      <c r="J293" s="285"/>
      <c r="K293" s="291">
        <f>tab_invoices[[#This Row],[Množstvo]]*tab_invoices[[#This Row],[Náklady na jednotku]]</f>
        <v>0</v>
      </c>
      <c r="L293" s="284"/>
      <c r="M293" s="292" t="str">
        <f>IF(ISBLANK(tab_invoices[[#This Row],['#]]),"",VLOOKUP(tab_invoices[[#This Row],['#]],tab_budget[['#]:[Rozpočtová položka]],2,FALSE))</f>
        <v/>
      </c>
      <c r="N293" s="292" t="str">
        <f>IF(ISBLANK(tab_invoices[[#This Row],['#]]),"",VLOOKUP(tab_invoices[[#This Row],['#]],tab_budget[['#]:[Typ výdavku]],7,FALSE))</f>
        <v/>
      </c>
      <c r="O293" s="292" t="str">
        <f>IF(ISBLANK(tab_invoices[[#This Row],['#]]),"",VLOOKUP(tab_invoices[[#This Row],['#]],tab_budget[['#]:[Rozpočtová položka]],8,FALSE))</f>
        <v/>
      </c>
      <c r="P293" s="292" t="str">
        <f>IF(ISBLANK(tab_invoices[[#This Row],['#]]),"",VLOOKUP(tab_invoices[[#This Row],['#]],tab_budget[['#]:[Rozpočtová kapitola]],9,FALSE))</f>
        <v/>
      </c>
      <c r="Q293" s="292" t="str">
        <f>IF(ISBLANK(tab_invoices[[#This Row],['#]]),"",VLOOKUP(tab_invoices[[#This Row],['#]],tab_budget[['#]:[Realizuje]],10,FALSE))</f>
        <v/>
      </c>
      <c r="R293" s="292"/>
      <c r="S293" s="292"/>
    </row>
    <row r="294" spans="1:19" s="5" customFormat="1" ht="10.199999999999999" x14ac:dyDescent="0.25">
      <c r="A294" s="290">
        <f t="shared" si="12"/>
        <v>285</v>
      </c>
      <c r="B294" s="283"/>
      <c r="C294" s="282"/>
      <c r="D294" s="284"/>
      <c r="E294" s="284"/>
      <c r="F294" s="283"/>
      <c r="G294" s="289"/>
      <c r="H294" s="289"/>
      <c r="I294" s="283"/>
      <c r="J294" s="285"/>
      <c r="K294" s="291">
        <f>tab_invoices[[#This Row],[Množstvo]]*tab_invoices[[#This Row],[Náklady na jednotku]]</f>
        <v>0</v>
      </c>
      <c r="L294" s="284"/>
      <c r="M294" s="292" t="str">
        <f>IF(ISBLANK(tab_invoices[[#This Row],['#]]),"",VLOOKUP(tab_invoices[[#This Row],['#]],tab_budget[['#]:[Rozpočtová položka]],2,FALSE))</f>
        <v/>
      </c>
      <c r="N294" s="292" t="str">
        <f>IF(ISBLANK(tab_invoices[[#This Row],['#]]),"",VLOOKUP(tab_invoices[[#This Row],['#]],tab_budget[['#]:[Typ výdavku]],7,FALSE))</f>
        <v/>
      </c>
      <c r="O294" s="292" t="str">
        <f>IF(ISBLANK(tab_invoices[[#This Row],['#]]),"",VLOOKUP(tab_invoices[[#This Row],['#]],tab_budget[['#]:[Rozpočtová položka]],8,FALSE))</f>
        <v/>
      </c>
      <c r="P294" s="292" t="str">
        <f>IF(ISBLANK(tab_invoices[[#This Row],['#]]),"",VLOOKUP(tab_invoices[[#This Row],['#]],tab_budget[['#]:[Rozpočtová kapitola]],9,FALSE))</f>
        <v/>
      </c>
      <c r="Q294" s="292" t="str">
        <f>IF(ISBLANK(tab_invoices[[#This Row],['#]]),"",VLOOKUP(tab_invoices[[#This Row],['#]],tab_budget[['#]:[Realizuje]],10,FALSE))</f>
        <v/>
      </c>
      <c r="R294" s="292"/>
      <c r="S294" s="292"/>
    </row>
    <row r="295" spans="1:19" s="5" customFormat="1" ht="10.199999999999999" x14ac:dyDescent="0.25">
      <c r="A295" s="290">
        <f t="shared" si="12"/>
        <v>286</v>
      </c>
      <c r="B295" s="283"/>
      <c r="C295" s="282"/>
      <c r="D295" s="284"/>
      <c r="E295" s="284"/>
      <c r="F295" s="283"/>
      <c r="G295" s="289"/>
      <c r="H295" s="289"/>
      <c r="I295" s="283"/>
      <c r="J295" s="285"/>
      <c r="K295" s="291">
        <f>tab_invoices[[#This Row],[Množstvo]]*tab_invoices[[#This Row],[Náklady na jednotku]]</f>
        <v>0</v>
      </c>
      <c r="L295" s="284"/>
      <c r="M295" s="292" t="str">
        <f>IF(ISBLANK(tab_invoices[[#This Row],['#]]),"",VLOOKUP(tab_invoices[[#This Row],['#]],tab_budget[['#]:[Rozpočtová položka]],2,FALSE))</f>
        <v/>
      </c>
      <c r="N295" s="292" t="str">
        <f>IF(ISBLANK(tab_invoices[[#This Row],['#]]),"",VLOOKUP(tab_invoices[[#This Row],['#]],tab_budget[['#]:[Typ výdavku]],7,FALSE))</f>
        <v/>
      </c>
      <c r="O295" s="292" t="str">
        <f>IF(ISBLANK(tab_invoices[[#This Row],['#]]),"",VLOOKUP(tab_invoices[[#This Row],['#]],tab_budget[['#]:[Rozpočtová položka]],8,FALSE))</f>
        <v/>
      </c>
      <c r="P295" s="292" t="str">
        <f>IF(ISBLANK(tab_invoices[[#This Row],['#]]),"",VLOOKUP(tab_invoices[[#This Row],['#]],tab_budget[['#]:[Rozpočtová kapitola]],9,FALSE))</f>
        <v/>
      </c>
      <c r="Q295" s="292" t="str">
        <f>IF(ISBLANK(tab_invoices[[#This Row],['#]]),"",VLOOKUP(tab_invoices[[#This Row],['#]],tab_budget[['#]:[Realizuje]],10,FALSE))</f>
        <v/>
      </c>
      <c r="R295" s="292"/>
      <c r="S295" s="292"/>
    </row>
    <row r="296" spans="1:19" s="5" customFormat="1" ht="10.199999999999999" x14ac:dyDescent="0.25">
      <c r="A296" s="290">
        <f t="shared" si="12"/>
        <v>287</v>
      </c>
      <c r="B296" s="283"/>
      <c r="C296" s="282"/>
      <c r="D296" s="284"/>
      <c r="E296" s="284"/>
      <c r="F296" s="283"/>
      <c r="G296" s="289"/>
      <c r="H296" s="289"/>
      <c r="I296" s="283"/>
      <c r="J296" s="285"/>
      <c r="K296" s="291">
        <f>tab_invoices[[#This Row],[Množstvo]]*tab_invoices[[#This Row],[Náklady na jednotku]]</f>
        <v>0</v>
      </c>
      <c r="L296" s="284"/>
      <c r="M296" s="292" t="str">
        <f>IF(ISBLANK(tab_invoices[[#This Row],['#]]),"",VLOOKUP(tab_invoices[[#This Row],['#]],tab_budget[['#]:[Rozpočtová položka]],2,FALSE))</f>
        <v/>
      </c>
      <c r="N296" s="292" t="str">
        <f>IF(ISBLANK(tab_invoices[[#This Row],['#]]),"",VLOOKUP(tab_invoices[[#This Row],['#]],tab_budget[['#]:[Typ výdavku]],7,FALSE))</f>
        <v/>
      </c>
      <c r="O296" s="292" t="str">
        <f>IF(ISBLANK(tab_invoices[[#This Row],['#]]),"",VLOOKUP(tab_invoices[[#This Row],['#]],tab_budget[['#]:[Rozpočtová položka]],8,FALSE))</f>
        <v/>
      </c>
      <c r="P296" s="292" t="str">
        <f>IF(ISBLANK(tab_invoices[[#This Row],['#]]),"",VLOOKUP(tab_invoices[[#This Row],['#]],tab_budget[['#]:[Rozpočtová kapitola]],9,FALSE))</f>
        <v/>
      </c>
      <c r="Q296" s="292" t="str">
        <f>IF(ISBLANK(tab_invoices[[#This Row],['#]]),"",VLOOKUP(tab_invoices[[#This Row],['#]],tab_budget[['#]:[Realizuje]],10,FALSE))</f>
        <v/>
      </c>
      <c r="R296" s="292"/>
      <c r="S296" s="292"/>
    </row>
    <row r="297" spans="1:19" s="5" customFormat="1" ht="10.199999999999999" x14ac:dyDescent="0.25">
      <c r="A297" s="290">
        <f t="shared" si="12"/>
        <v>288</v>
      </c>
      <c r="B297" s="283"/>
      <c r="C297" s="282"/>
      <c r="D297" s="284"/>
      <c r="E297" s="284"/>
      <c r="F297" s="283"/>
      <c r="G297" s="289"/>
      <c r="H297" s="289"/>
      <c r="I297" s="283"/>
      <c r="J297" s="285"/>
      <c r="K297" s="291">
        <f>tab_invoices[[#This Row],[Množstvo]]*tab_invoices[[#This Row],[Náklady na jednotku]]</f>
        <v>0</v>
      </c>
      <c r="L297" s="284"/>
      <c r="M297" s="292" t="str">
        <f>IF(ISBLANK(tab_invoices[[#This Row],['#]]),"",VLOOKUP(tab_invoices[[#This Row],['#]],tab_budget[['#]:[Rozpočtová položka]],2,FALSE))</f>
        <v/>
      </c>
      <c r="N297" s="292" t="str">
        <f>IF(ISBLANK(tab_invoices[[#This Row],['#]]),"",VLOOKUP(tab_invoices[[#This Row],['#]],tab_budget[['#]:[Typ výdavku]],7,FALSE))</f>
        <v/>
      </c>
      <c r="O297" s="292" t="str">
        <f>IF(ISBLANK(tab_invoices[[#This Row],['#]]),"",VLOOKUP(tab_invoices[[#This Row],['#]],tab_budget[['#]:[Rozpočtová položka]],8,FALSE))</f>
        <v/>
      </c>
      <c r="P297" s="292" t="str">
        <f>IF(ISBLANK(tab_invoices[[#This Row],['#]]),"",VLOOKUP(tab_invoices[[#This Row],['#]],tab_budget[['#]:[Rozpočtová kapitola]],9,FALSE))</f>
        <v/>
      </c>
      <c r="Q297" s="292" t="str">
        <f>IF(ISBLANK(tab_invoices[[#This Row],['#]]),"",VLOOKUP(tab_invoices[[#This Row],['#]],tab_budget[['#]:[Realizuje]],10,FALSE))</f>
        <v/>
      </c>
      <c r="R297" s="292"/>
      <c r="S297" s="292"/>
    </row>
    <row r="298" spans="1:19" s="5" customFormat="1" ht="10.199999999999999" x14ac:dyDescent="0.25">
      <c r="A298" s="290">
        <f t="shared" si="12"/>
        <v>289</v>
      </c>
      <c r="B298" s="283"/>
      <c r="C298" s="282"/>
      <c r="D298" s="284"/>
      <c r="E298" s="284"/>
      <c r="F298" s="283"/>
      <c r="G298" s="289"/>
      <c r="H298" s="289"/>
      <c r="I298" s="283"/>
      <c r="J298" s="285"/>
      <c r="K298" s="291">
        <f>tab_invoices[[#This Row],[Množstvo]]*tab_invoices[[#This Row],[Náklady na jednotku]]</f>
        <v>0</v>
      </c>
      <c r="L298" s="284"/>
      <c r="M298" s="292" t="str">
        <f>IF(ISBLANK(tab_invoices[[#This Row],['#]]),"",VLOOKUP(tab_invoices[[#This Row],['#]],tab_budget[['#]:[Rozpočtová položka]],2,FALSE))</f>
        <v/>
      </c>
      <c r="N298" s="292" t="str">
        <f>IF(ISBLANK(tab_invoices[[#This Row],['#]]),"",VLOOKUP(tab_invoices[[#This Row],['#]],tab_budget[['#]:[Typ výdavku]],7,FALSE))</f>
        <v/>
      </c>
      <c r="O298" s="292" t="str">
        <f>IF(ISBLANK(tab_invoices[[#This Row],['#]]),"",VLOOKUP(tab_invoices[[#This Row],['#]],tab_budget[['#]:[Rozpočtová položka]],8,FALSE))</f>
        <v/>
      </c>
      <c r="P298" s="292" t="str">
        <f>IF(ISBLANK(tab_invoices[[#This Row],['#]]),"",VLOOKUP(tab_invoices[[#This Row],['#]],tab_budget[['#]:[Rozpočtová kapitola]],9,FALSE))</f>
        <v/>
      </c>
      <c r="Q298" s="292" t="str">
        <f>IF(ISBLANK(tab_invoices[[#This Row],['#]]),"",VLOOKUP(tab_invoices[[#This Row],['#]],tab_budget[['#]:[Realizuje]],10,FALSE))</f>
        <v/>
      </c>
      <c r="R298" s="292"/>
      <c r="S298" s="292"/>
    </row>
    <row r="299" spans="1:19" s="5" customFormat="1" ht="10.199999999999999" x14ac:dyDescent="0.25">
      <c r="A299" s="290">
        <f t="shared" si="12"/>
        <v>290</v>
      </c>
      <c r="B299" s="283"/>
      <c r="C299" s="282"/>
      <c r="D299" s="284"/>
      <c r="E299" s="284"/>
      <c r="F299" s="283"/>
      <c r="G299" s="289"/>
      <c r="H299" s="289"/>
      <c r="I299" s="283"/>
      <c r="J299" s="285"/>
      <c r="K299" s="291">
        <f>tab_invoices[[#This Row],[Množstvo]]*tab_invoices[[#This Row],[Náklady na jednotku]]</f>
        <v>0</v>
      </c>
      <c r="L299" s="284"/>
      <c r="M299" s="292" t="str">
        <f>IF(ISBLANK(tab_invoices[[#This Row],['#]]),"",VLOOKUP(tab_invoices[[#This Row],['#]],tab_budget[['#]:[Rozpočtová položka]],2,FALSE))</f>
        <v/>
      </c>
      <c r="N299" s="292" t="str">
        <f>IF(ISBLANK(tab_invoices[[#This Row],['#]]),"",VLOOKUP(tab_invoices[[#This Row],['#]],tab_budget[['#]:[Typ výdavku]],7,FALSE))</f>
        <v/>
      </c>
      <c r="O299" s="292" t="str">
        <f>IF(ISBLANK(tab_invoices[[#This Row],['#]]),"",VLOOKUP(tab_invoices[[#This Row],['#]],tab_budget[['#]:[Rozpočtová položka]],8,FALSE))</f>
        <v/>
      </c>
      <c r="P299" s="292" t="str">
        <f>IF(ISBLANK(tab_invoices[[#This Row],['#]]),"",VLOOKUP(tab_invoices[[#This Row],['#]],tab_budget[['#]:[Rozpočtová kapitola]],9,FALSE))</f>
        <v/>
      </c>
      <c r="Q299" s="292" t="str">
        <f>IF(ISBLANK(tab_invoices[[#This Row],['#]]),"",VLOOKUP(tab_invoices[[#This Row],['#]],tab_budget[['#]:[Realizuje]],10,FALSE))</f>
        <v/>
      </c>
      <c r="R299" s="292"/>
      <c r="S299" s="292"/>
    </row>
    <row r="300" spans="1:19" s="5" customFormat="1" ht="10.199999999999999" x14ac:dyDescent="0.25">
      <c r="A300" s="290">
        <f t="shared" si="12"/>
        <v>291</v>
      </c>
      <c r="B300" s="283"/>
      <c r="C300" s="282"/>
      <c r="D300" s="284"/>
      <c r="E300" s="284"/>
      <c r="F300" s="283"/>
      <c r="G300" s="289"/>
      <c r="H300" s="289"/>
      <c r="I300" s="283"/>
      <c r="J300" s="285"/>
      <c r="K300" s="291">
        <f>tab_invoices[[#This Row],[Množstvo]]*tab_invoices[[#This Row],[Náklady na jednotku]]</f>
        <v>0</v>
      </c>
      <c r="L300" s="284"/>
      <c r="M300" s="292" t="str">
        <f>IF(ISBLANK(tab_invoices[[#This Row],['#]]),"",VLOOKUP(tab_invoices[[#This Row],['#]],tab_budget[['#]:[Rozpočtová položka]],2,FALSE))</f>
        <v/>
      </c>
      <c r="N300" s="292" t="str">
        <f>IF(ISBLANK(tab_invoices[[#This Row],['#]]),"",VLOOKUP(tab_invoices[[#This Row],['#]],tab_budget[['#]:[Typ výdavku]],7,FALSE))</f>
        <v/>
      </c>
      <c r="O300" s="292" t="str">
        <f>IF(ISBLANK(tab_invoices[[#This Row],['#]]),"",VLOOKUP(tab_invoices[[#This Row],['#]],tab_budget[['#]:[Rozpočtová položka]],8,FALSE))</f>
        <v/>
      </c>
      <c r="P300" s="292" t="str">
        <f>IF(ISBLANK(tab_invoices[[#This Row],['#]]),"",VLOOKUP(tab_invoices[[#This Row],['#]],tab_budget[['#]:[Rozpočtová kapitola]],9,FALSE))</f>
        <v/>
      </c>
      <c r="Q300" s="292" t="str">
        <f>IF(ISBLANK(tab_invoices[[#This Row],['#]]),"",VLOOKUP(tab_invoices[[#This Row],['#]],tab_budget[['#]:[Realizuje]],10,FALSE))</f>
        <v/>
      </c>
      <c r="R300" s="292"/>
      <c r="S300" s="292"/>
    </row>
    <row r="301" spans="1:19" s="5" customFormat="1" ht="10.199999999999999" x14ac:dyDescent="0.25">
      <c r="A301" s="290">
        <f t="shared" si="12"/>
        <v>292</v>
      </c>
      <c r="B301" s="283"/>
      <c r="C301" s="282"/>
      <c r="D301" s="284"/>
      <c r="E301" s="284"/>
      <c r="F301" s="283"/>
      <c r="G301" s="289"/>
      <c r="H301" s="289"/>
      <c r="I301" s="283"/>
      <c r="J301" s="285"/>
      <c r="K301" s="291">
        <f>tab_invoices[[#This Row],[Množstvo]]*tab_invoices[[#This Row],[Náklady na jednotku]]</f>
        <v>0</v>
      </c>
      <c r="L301" s="284"/>
      <c r="M301" s="292" t="str">
        <f>IF(ISBLANK(tab_invoices[[#This Row],['#]]),"",VLOOKUP(tab_invoices[[#This Row],['#]],tab_budget[['#]:[Rozpočtová položka]],2,FALSE))</f>
        <v/>
      </c>
      <c r="N301" s="292" t="str">
        <f>IF(ISBLANK(tab_invoices[[#This Row],['#]]),"",VLOOKUP(tab_invoices[[#This Row],['#]],tab_budget[['#]:[Typ výdavku]],7,FALSE))</f>
        <v/>
      </c>
      <c r="O301" s="292" t="str">
        <f>IF(ISBLANK(tab_invoices[[#This Row],['#]]),"",VLOOKUP(tab_invoices[[#This Row],['#]],tab_budget[['#]:[Rozpočtová položka]],8,FALSE))</f>
        <v/>
      </c>
      <c r="P301" s="292" t="str">
        <f>IF(ISBLANK(tab_invoices[[#This Row],['#]]),"",VLOOKUP(tab_invoices[[#This Row],['#]],tab_budget[['#]:[Rozpočtová kapitola]],9,FALSE))</f>
        <v/>
      </c>
      <c r="Q301" s="292" t="str">
        <f>IF(ISBLANK(tab_invoices[[#This Row],['#]]),"",VLOOKUP(tab_invoices[[#This Row],['#]],tab_budget[['#]:[Realizuje]],10,FALSE))</f>
        <v/>
      </c>
      <c r="R301" s="292"/>
      <c r="S301" s="292"/>
    </row>
    <row r="302" spans="1:19" s="5" customFormat="1" ht="10.199999999999999" x14ac:dyDescent="0.25">
      <c r="A302" s="290">
        <f t="shared" si="12"/>
        <v>293</v>
      </c>
      <c r="B302" s="283"/>
      <c r="C302" s="282"/>
      <c r="D302" s="284"/>
      <c r="E302" s="284"/>
      <c r="F302" s="283"/>
      <c r="G302" s="289"/>
      <c r="H302" s="289"/>
      <c r="I302" s="283"/>
      <c r="J302" s="285"/>
      <c r="K302" s="291">
        <f>tab_invoices[[#This Row],[Množstvo]]*tab_invoices[[#This Row],[Náklady na jednotku]]</f>
        <v>0</v>
      </c>
      <c r="L302" s="284"/>
      <c r="M302" s="292" t="str">
        <f>IF(ISBLANK(tab_invoices[[#This Row],['#]]),"",VLOOKUP(tab_invoices[[#This Row],['#]],tab_budget[['#]:[Rozpočtová položka]],2,FALSE))</f>
        <v/>
      </c>
      <c r="N302" s="292" t="str">
        <f>IF(ISBLANK(tab_invoices[[#This Row],['#]]),"",VLOOKUP(tab_invoices[[#This Row],['#]],tab_budget[['#]:[Typ výdavku]],7,FALSE))</f>
        <v/>
      </c>
      <c r="O302" s="292" t="str">
        <f>IF(ISBLANK(tab_invoices[[#This Row],['#]]),"",VLOOKUP(tab_invoices[[#This Row],['#]],tab_budget[['#]:[Rozpočtová položka]],8,FALSE))</f>
        <v/>
      </c>
      <c r="P302" s="292" t="str">
        <f>IF(ISBLANK(tab_invoices[[#This Row],['#]]),"",VLOOKUP(tab_invoices[[#This Row],['#]],tab_budget[['#]:[Rozpočtová kapitola]],9,FALSE))</f>
        <v/>
      </c>
      <c r="Q302" s="292" t="str">
        <f>IF(ISBLANK(tab_invoices[[#This Row],['#]]),"",VLOOKUP(tab_invoices[[#This Row],['#]],tab_budget[['#]:[Realizuje]],10,FALSE))</f>
        <v/>
      </c>
      <c r="R302" s="292"/>
      <c r="S302" s="292"/>
    </row>
    <row r="303" spans="1:19" s="5" customFormat="1" ht="10.199999999999999" x14ac:dyDescent="0.25">
      <c r="A303" s="290">
        <f t="shared" si="12"/>
        <v>294</v>
      </c>
      <c r="B303" s="283"/>
      <c r="C303" s="282"/>
      <c r="D303" s="284"/>
      <c r="E303" s="284"/>
      <c r="F303" s="283"/>
      <c r="G303" s="289"/>
      <c r="H303" s="289"/>
      <c r="I303" s="283"/>
      <c r="J303" s="285"/>
      <c r="K303" s="291">
        <f>tab_invoices[[#This Row],[Množstvo]]*tab_invoices[[#This Row],[Náklady na jednotku]]</f>
        <v>0</v>
      </c>
      <c r="L303" s="284"/>
      <c r="M303" s="292" t="str">
        <f>IF(ISBLANK(tab_invoices[[#This Row],['#]]),"",VLOOKUP(tab_invoices[[#This Row],['#]],tab_budget[['#]:[Rozpočtová položka]],2,FALSE))</f>
        <v/>
      </c>
      <c r="N303" s="292" t="str">
        <f>IF(ISBLANK(tab_invoices[[#This Row],['#]]),"",VLOOKUP(tab_invoices[[#This Row],['#]],tab_budget[['#]:[Typ výdavku]],7,FALSE))</f>
        <v/>
      </c>
      <c r="O303" s="292" t="str">
        <f>IF(ISBLANK(tab_invoices[[#This Row],['#]]),"",VLOOKUP(tab_invoices[[#This Row],['#]],tab_budget[['#]:[Rozpočtová položka]],8,FALSE))</f>
        <v/>
      </c>
      <c r="P303" s="292" t="str">
        <f>IF(ISBLANK(tab_invoices[[#This Row],['#]]),"",VLOOKUP(tab_invoices[[#This Row],['#]],tab_budget[['#]:[Rozpočtová kapitola]],9,FALSE))</f>
        <v/>
      </c>
      <c r="Q303" s="292" t="str">
        <f>IF(ISBLANK(tab_invoices[[#This Row],['#]]),"",VLOOKUP(tab_invoices[[#This Row],['#]],tab_budget[['#]:[Realizuje]],10,FALSE))</f>
        <v/>
      </c>
      <c r="R303" s="292"/>
      <c r="S303" s="292"/>
    </row>
    <row r="304" spans="1:19" s="5" customFormat="1" ht="10.199999999999999" x14ac:dyDescent="0.25">
      <c r="A304" s="290">
        <f t="shared" si="12"/>
        <v>295</v>
      </c>
      <c r="B304" s="283"/>
      <c r="C304" s="282"/>
      <c r="D304" s="284"/>
      <c r="E304" s="284"/>
      <c r="F304" s="283"/>
      <c r="G304" s="289"/>
      <c r="H304" s="289"/>
      <c r="I304" s="283"/>
      <c r="J304" s="285"/>
      <c r="K304" s="291">
        <f>tab_invoices[[#This Row],[Množstvo]]*tab_invoices[[#This Row],[Náklady na jednotku]]</f>
        <v>0</v>
      </c>
      <c r="L304" s="284"/>
      <c r="M304" s="292" t="str">
        <f>IF(ISBLANK(tab_invoices[[#This Row],['#]]),"",VLOOKUP(tab_invoices[[#This Row],['#]],tab_budget[['#]:[Rozpočtová položka]],2,FALSE))</f>
        <v/>
      </c>
      <c r="N304" s="292" t="str">
        <f>IF(ISBLANK(tab_invoices[[#This Row],['#]]),"",VLOOKUP(tab_invoices[[#This Row],['#]],tab_budget[['#]:[Typ výdavku]],7,FALSE))</f>
        <v/>
      </c>
      <c r="O304" s="292" t="str">
        <f>IF(ISBLANK(tab_invoices[[#This Row],['#]]),"",VLOOKUP(tab_invoices[[#This Row],['#]],tab_budget[['#]:[Rozpočtová položka]],8,FALSE))</f>
        <v/>
      </c>
      <c r="P304" s="292" t="str">
        <f>IF(ISBLANK(tab_invoices[[#This Row],['#]]),"",VLOOKUP(tab_invoices[[#This Row],['#]],tab_budget[['#]:[Rozpočtová kapitola]],9,FALSE))</f>
        <v/>
      </c>
      <c r="Q304" s="292" t="str">
        <f>IF(ISBLANK(tab_invoices[[#This Row],['#]]),"",VLOOKUP(tab_invoices[[#This Row],['#]],tab_budget[['#]:[Realizuje]],10,FALSE))</f>
        <v/>
      </c>
      <c r="R304" s="292"/>
      <c r="S304" s="292"/>
    </row>
    <row r="305" spans="1:19" s="5" customFormat="1" ht="10.199999999999999" x14ac:dyDescent="0.25">
      <c r="A305" s="290">
        <f t="shared" si="12"/>
        <v>296</v>
      </c>
      <c r="B305" s="283"/>
      <c r="C305" s="282"/>
      <c r="D305" s="284"/>
      <c r="E305" s="284"/>
      <c r="F305" s="283"/>
      <c r="G305" s="289"/>
      <c r="H305" s="289"/>
      <c r="I305" s="283"/>
      <c r="J305" s="285"/>
      <c r="K305" s="291">
        <f>tab_invoices[[#This Row],[Množstvo]]*tab_invoices[[#This Row],[Náklady na jednotku]]</f>
        <v>0</v>
      </c>
      <c r="L305" s="284"/>
      <c r="M305" s="292" t="str">
        <f>IF(ISBLANK(tab_invoices[[#This Row],['#]]),"",VLOOKUP(tab_invoices[[#This Row],['#]],tab_budget[['#]:[Rozpočtová položka]],2,FALSE))</f>
        <v/>
      </c>
      <c r="N305" s="292" t="str">
        <f>IF(ISBLANK(tab_invoices[[#This Row],['#]]),"",VLOOKUP(tab_invoices[[#This Row],['#]],tab_budget[['#]:[Typ výdavku]],7,FALSE))</f>
        <v/>
      </c>
      <c r="O305" s="292" t="str">
        <f>IF(ISBLANK(tab_invoices[[#This Row],['#]]),"",VLOOKUP(tab_invoices[[#This Row],['#]],tab_budget[['#]:[Rozpočtová položka]],8,FALSE))</f>
        <v/>
      </c>
      <c r="P305" s="292" t="str">
        <f>IF(ISBLANK(tab_invoices[[#This Row],['#]]),"",VLOOKUP(tab_invoices[[#This Row],['#]],tab_budget[['#]:[Rozpočtová kapitola]],9,FALSE))</f>
        <v/>
      </c>
      <c r="Q305" s="292" t="str">
        <f>IF(ISBLANK(tab_invoices[[#This Row],['#]]),"",VLOOKUP(tab_invoices[[#This Row],['#]],tab_budget[['#]:[Realizuje]],10,FALSE))</f>
        <v/>
      </c>
      <c r="R305" s="292"/>
      <c r="S305" s="292"/>
    </row>
    <row r="306" spans="1:19" s="5" customFormat="1" ht="10.199999999999999" x14ac:dyDescent="0.25">
      <c r="A306" s="451">
        <f>ROW(B306)-9</f>
        <v>297</v>
      </c>
      <c r="B306" s="452"/>
      <c r="C306" s="453"/>
      <c r="D306" s="454"/>
      <c r="E306" s="454"/>
      <c r="F306" s="452"/>
      <c r="G306" s="455"/>
      <c r="H306" s="455"/>
      <c r="I306" s="452"/>
      <c r="J306" s="456"/>
      <c r="K306" s="291">
        <f>tab_invoices[[#This Row],[Množstvo]]*tab_invoices[[#This Row],[Náklady na jednotku]]</f>
        <v>0</v>
      </c>
      <c r="L306" s="454"/>
      <c r="M306" s="292" t="str">
        <f>IF(ISBLANK(tab_invoices[[#This Row],['#]]),"",VLOOKUP(tab_invoices[[#This Row],['#]],tab_budget[['#]:[Rozpočtová položka]],2,FALSE))</f>
        <v/>
      </c>
      <c r="N306" s="457" t="str">
        <f>IF(ISBLANK(tab_invoices[[#This Row],['#]]),"",VLOOKUP(tab_invoices[[#This Row],['#]],tab_budget[['#]:[Typ výdavku]],7,FALSE))</f>
        <v/>
      </c>
      <c r="O306" s="457" t="str">
        <f>IF(ISBLANK(tab_invoices[[#This Row],['#]]),"",VLOOKUP(tab_invoices[[#This Row],['#]],tab_budget[['#]:[Rozpočtová položka]],8,FALSE))</f>
        <v/>
      </c>
      <c r="P306" s="457" t="str">
        <f>IF(ISBLANK(tab_invoices[[#This Row],['#]]),"",VLOOKUP(tab_invoices[[#This Row],['#]],tab_budget[['#]:[Rozpočtová kapitola]],9,FALSE))</f>
        <v/>
      </c>
      <c r="Q306" s="457" t="str">
        <f>IF(ISBLANK(tab_invoices[[#This Row],['#]]),"",VLOOKUP(tab_invoices[[#This Row],['#]],tab_budget[['#]:[Realizuje]],10,FALSE))</f>
        <v/>
      </c>
      <c r="R306" s="457"/>
      <c r="S306" s="457"/>
    </row>
    <row r="307" spans="1:19" s="5" customFormat="1" ht="10.199999999999999" x14ac:dyDescent="0.25">
      <c r="A307" s="451">
        <f>ROW(B307)-9</f>
        <v>298</v>
      </c>
      <c r="B307" s="452"/>
      <c r="C307" s="453"/>
      <c r="D307" s="454"/>
      <c r="E307" s="454"/>
      <c r="F307" s="452"/>
      <c r="G307" s="455"/>
      <c r="H307" s="455"/>
      <c r="I307" s="452"/>
      <c r="J307" s="456"/>
      <c r="K307" s="291">
        <f>tab_invoices[[#This Row],[Množstvo]]*tab_invoices[[#This Row],[Náklady na jednotku]]</f>
        <v>0</v>
      </c>
      <c r="L307" s="454"/>
      <c r="M307" s="292" t="str">
        <f>IF(ISBLANK(tab_invoices[[#This Row],['#]]),"",VLOOKUP(tab_invoices[[#This Row],['#]],tab_budget[['#]:[Rozpočtová položka]],2,FALSE))</f>
        <v/>
      </c>
      <c r="N307" s="457" t="str">
        <f>IF(ISBLANK(tab_invoices[[#This Row],['#]]),"",VLOOKUP(tab_invoices[[#This Row],['#]],tab_budget[['#]:[Typ výdavku]],7,FALSE))</f>
        <v/>
      </c>
      <c r="O307" s="457" t="str">
        <f>IF(ISBLANK(tab_invoices[[#This Row],['#]]),"",VLOOKUP(tab_invoices[[#This Row],['#]],tab_budget[['#]:[Rozpočtová položka]],8,FALSE))</f>
        <v/>
      </c>
      <c r="P307" s="457" t="str">
        <f>IF(ISBLANK(tab_invoices[[#This Row],['#]]),"",VLOOKUP(tab_invoices[[#This Row],['#]],tab_budget[['#]:[Rozpočtová kapitola]],9,FALSE))</f>
        <v/>
      </c>
      <c r="Q307" s="457" t="str">
        <f>IF(ISBLANK(tab_invoices[[#This Row],['#]]),"",VLOOKUP(tab_invoices[[#This Row],['#]],tab_budget[['#]:[Realizuje]],10,FALSE))</f>
        <v/>
      </c>
      <c r="R307" s="457"/>
      <c r="S307" s="457"/>
    </row>
    <row r="308" spans="1:19" s="5" customFormat="1" ht="10.199999999999999" x14ac:dyDescent="0.25">
      <c r="A308" s="290">
        <f t="shared" si="12"/>
        <v>299</v>
      </c>
      <c r="B308" s="283"/>
      <c r="C308" s="282"/>
      <c r="D308" s="284"/>
      <c r="E308" s="284"/>
      <c r="F308" s="283"/>
      <c r="G308" s="289"/>
      <c r="H308" s="289"/>
      <c r="I308" s="283"/>
      <c r="J308" s="285"/>
      <c r="K308" s="291">
        <f>tab_invoices[[#This Row],[Množstvo]]*tab_invoices[[#This Row],[Náklady na jednotku]]</f>
        <v>0</v>
      </c>
      <c r="L308" s="284"/>
      <c r="M308" s="292" t="str">
        <f>IF(ISBLANK(tab_invoices[[#This Row],['#]]),"",VLOOKUP(tab_invoices[[#This Row],['#]],tab_budget[['#]:[Rozpočtová položka]],2,FALSE))</f>
        <v/>
      </c>
      <c r="N308" s="292" t="str">
        <f>IF(ISBLANK(tab_invoices[[#This Row],['#]]),"",VLOOKUP(tab_invoices[[#This Row],['#]],tab_budget[['#]:[Typ výdavku]],7,FALSE))</f>
        <v/>
      </c>
      <c r="O308" s="292" t="str">
        <f>IF(ISBLANK(tab_invoices[[#This Row],['#]]),"",VLOOKUP(tab_invoices[[#This Row],['#]],tab_budget[['#]:[Rozpočtová položka]],8,FALSE))</f>
        <v/>
      </c>
      <c r="P308" s="292" t="str">
        <f>IF(ISBLANK(tab_invoices[[#This Row],['#]]),"",VLOOKUP(tab_invoices[[#This Row],['#]],tab_budget[['#]:[Rozpočtová kapitola]],9,FALSE))</f>
        <v/>
      </c>
      <c r="Q308" s="292" t="str">
        <f>IF(ISBLANK(tab_invoices[[#This Row],['#]]),"",VLOOKUP(tab_invoices[[#This Row],['#]],tab_budget[['#]:[Realizuje]],10,FALSE))</f>
        <v/>
      </c>
      <c r="R308" s="292"/>
      <c r="S308" s="292"/>
    </row>
    <row r="309" spans="1:19" s="5" customFormat="1" ht="10.199999999999999" x14ac:dyDescent="0.25">
      <c r="A309" s="290">
        <f>ROW(B309)-9</f>
        <v>300</v>
      </c>
      <c r="B309" s="283"/>
      <c r="C309" s="282"/>
      <c r="D309" s="284"/>
      <c r="E309" s="284"/>
      <c r="F309" s="283"/>
      <c r="G309" s="289"/>
      <c r="H309" s="289"/>
      <c r="I309" s="283"/>
      <c r="J309" s="285"/>
      <c r="K309" s="291">
        <f>tab_invoices[[#This Row],[Množstvo]]*tab_invoices[[#This Row],[Náklady na jednotku]]</f>
        <v>0</v>
      </c>
      <c r="L309" s="284"/>
      <c r="M309" s="458" t="str">
        <f>IF(ISBLANK(tab_invoices[[#This Row],['#]]),"",VLOOKUP(tab_invoices[[#This Row],['#]],tab_budget[['#]:[Rozpočtová položka]],2,FALSE))</f>
        <v/>
      </c>
      <c r="N309" s="292" t="str">
        <f>IF(ISBLANK(tab_invoices[[#This Row],['#]]),"",VLOOKUP(tab_invoices[[#This Row],['#]],tab_budget[['#]:[Typ výdavku]],7,FALSE))</f>
        <v/>
      </c>
      <c r="O309" s="292" t="str">
        <f>IF(ISBLANK(tab_invoices[[#This Row],['#]]),"",VLOOKUP(tab_invoices[[#This Row],['#]],tab_budget[['#]:[Rozpočtová položka]],8,FALSE))</f>
        <v/>
      </c>
      <c r="P309" s="292" t="str">
        <f>IF(ISBLANK(tab_invoices[[#This Row],['#]]),"",VLOOKUP(tab_invoices[[#This Row],['#]],tab_budget[['#]:[Rozpočtová kapitola]],9,FALSE))</f>
        <v/>
      </c>
      <c r="Q309" s="292" t="str">
        <f>IF(ISBLANK(tab_invoices[[#This Row],['#]]),"",VLOOKUP(tab_invoices[[#This Row],['#]],tab_budget[['#]:[Realizuje]],10,FALSE))</f>
        <v/>
      </c>
      <c r="R309" s="292"/>
      <c r="S309" s="292"/>
    </row>
    <row r="310" spans="1:19" s="5" customFormat="1" ht="10.199999999999999" x14ac:dyDescent="0.25">
      <c r="A310" s="290">
        <f>ROW(B310)-9</f>
        <v>301</v>
      </c>
      <c r="B310" s="283"/>
      <c r="C310" s="282"/>
      <c r="D310" s="284"/>
      <c r="E310" s="284"/>
      <c r="F310" s="283"/>
      <c r="G310" s="289"/>
      <c r="H310" s="289"/>
      <c r="I310" s="283"/>
      <c r="J310" s="285"/>
      <c r="K310" s="291">
        <f>tab_invoices[[#This Row],[Množstvo]]*tab_invoices[[#This Row],[Náklady na jednotku]]</f>
        <v>0</v>
      </c>
      <c r="L310" s="284"/>
      <c r="M310" s="458" t="str">
        <f>IF(ISBLANK(tab_invoices[[#This Row],['#]]),"",VLOOKUP(tab_invoices[[#This Row],['#]],tab_budget[['#]:[Rozpočtová položka]],2,FALSE))</f>
        <v/>
      </c>
      <c r="N310" s="292" t="str">
        <f>IF(ISBLANK(tab_invoices[[#This Row],['#]]),"",VLOOKUP(tab_invoices[[#This Row],['#]],tab_budget[['#]:[Typ výdavku]],7,FALSE))</f>
        <v/>
      </c>
      <c r="O310" s="292" t="str">
        <f>IF(ISBLANK(tab_invoices[[#This Row],['#]]),"",VLOOKUP(tab_invoices[[#This Row],['#]],tab_budget[['#]:[Rozpočtová položka]],8,FALSE))</f>
        <v/>
      </c>
      <c r="P310" s="292" t="str">
        <f>IF(ISBLANK(tab_invoices[[#This Row],['#]]),"",VLOOKUP(tab_invoices[[#This Row],['#]],tab_budget[['#]:[Rozpočtová kapitola]],9,FALSE))</f>
        <v/>
      </c>
      <c r="Q310" s="292" t="str">
        <f>IF(ISBLANK(tab_invoices[[#This Row],['#]]),"",VLOOKUP(tab_invoices[[#This Row],['#]],tab_budget[['#]:[Realizuje]],10,FALSE))</f>
        <v/>
      </c>
      <c r="R310" s="292"/>
      <c r="S310" s="292"/>
    </row>
    <row r="311" spans="1:19" s="5" customFormat="1" ht="10.199999999999999" x14ac:dyDescent="0.25">
      <c r="A311" s="290">
        <f t="shared" si="12"/>
        <v>302</v>
      </c>
      <c r="B311" s="283"/>
      <c r="C311" s="282"/>
      <c r="D311" s="284"/>
      <c r="E311" s="284"/>
      <c r="F311" s="283"/>
      <c r="G311" s="289"/>
      <c r="H311" s="289"/>
      <c r="I311" s="283"/>
      <c r="J311" s="285"/>
      <c r="K311" s="291">
        <f>tab_invoices[[#This Row],[Množstvo]]*tab_invoices[[#This Row],[Náklady na jednotku]]</f>
        <v>0</v>
      </c>
      <c r="L311" s="284"/>
      <c r="M311" s="292" t="str">
        <f>IF(ISBLANK(tab_invoices[[#This Row],['#]]),"",VLOOKUP(tab_invoices[[#This Row],['#]],tab_budget[['#]:[Rozpočtová položka]],2,FALSE))</f>
        <v/>
      </c>
      <c r="N311" s="292" t="str">
        <f>IF(ISBLANK(tab_invoices[[#This Row],['#]]),"",VLOOKUP(tab_invoices[[#This Row],['#]],tab_budget[['#]:[Typ výdavku]],7,FALSE))</f>
        <v/>
      </c>
      <c r="O311" s="292" t="str">
        <f>IF(ISBLANK(tab_invoices[[#This Row],['#]]),"",VLOOKUP(tab_invoices[[#This Row],['#]],tab_budget[['#]:[Rozpočtová položka]],8,FALSE))</f>
        <v/>
      </c>
      <c r="P311" s="292" t="str">
        <f>IF(ISBLANK(tab_invoices[[#This Row],['#]]),"",VLOOKUP(tab_invoices[[#This Row],['#]],tab_budget[['#]:[Rozpočtová kapitola]],9,FALSE))</f>
        <v/>
      </c>
      <c r="Q311" s="292" t="str">
        <f>IF(ISBLANK(tab_invoices[[#This Row],['#]]),"",VLOOKUP(tab_invoices[[#This Row],['#]],tab_budget[['#]:[Realizuje]],10,FALSE))</f>
        <v/>
      </c>
      <c r="R311" s="292"/>
      <c r="S311" s="292"/>
    </row>
    <row r="312" spans="1:19" x14ac:dyDescent="0.25">
      <c r="B312" s="243"/>
      <c r="C312" s="243"/>
      <c r="D312" s="244"/>
      <c r="E312" s="244"/>
      <c r="F312" s="243"/>
      <c r="G312" s="243"/>
      <c r="H312" s="243"/>
      <c r="I312" s="243"/>
      <c r="J312" s="287"/>
      <c r="K312" s="288"/>
      <c r="L312" s="288"/>
      <c r="M312" s="288"/>
      <c r="N312" s="288"/>
      <c r="O312" s="288"/>
    </row>
    <row r="314" spans="1:19" s="263" customFormat="1" ht="36" customHeight="1" x14ac:dyDescent="0.25">
      <c r="A314" s="293" t="s">
        <v>170</v>
      </c>
      <c r="B314" s="294"/>
      <c r="C314" s="277"/>
    </row>
    <row r="315" spans="1:19" s="263" customFormat="1" ht="36" customHeight="1" x14ac:dyDescent="0.25">
      <c r="A315" s="293" t="s">
        <v>444</v>
      </c>
      <c r="B315" s="294"/>
      <c r="C315" s="277"/>
    </row>
    <row r="316" spans="1:19" s="263" customFormat="1" ht="36" customHeight="1" x14ac:dyDescent="0.25">
      <c r="A316" s="293" t="s">
        <v>445</v>
      </c>
      <c r="B316" s="294"/>
      <c r="C316" s="277"/>
    </row>
    <row r="317" spans="1:19" s="263" customFormat="1" ht="36" customHeight="1" x14ac:dyDescent="0.25">
      <c r="A317" s="293" t="s">
        <v>171</v>
      </c>
      <c r="B317" s="294"/>
      <c r="C317" s="261"/>
    </row>
    <row r="318" spans="1:19" s="263" customFormat="1" ht="36" customHeight="1" x14ac:dyDescent="0.25"/>
    <row r="319" spans="1:19" s="263" customFormat="1" ht="36" customHeight="1" x14ac:dyDescent="0.25">
      <c r="A319" s="293" t="s">
        <v>173</v>
      </c>
      <c r="B319" s="294"/>
      <c r="C319" s="277"/>
    </row>
    <row r="320" spans="1:19" s="265" customFormat="1" ht="36" customHeight="1" x14ac:dyDescent="0.25">
      <c r="A320" s="293" t="s">
        <v>444</v>
      </c>
      <c r="B320" s="294"/>
      <c r="C320" s="277"/>
      <c r="D320" s="264"/>
      <c r="E320" s="264"/>
      <c r="F320" s="263"/>
      <c r="G320" s="263"/>
    </row>
    <row r="321" spans="1:7" s="265" customFormat="1" ht="36" customHeight="1" x14ac:dyDescent="0.25">
      <c r="A321" s="293" t="s">
        <v>445</v>
      </c>
      <c r="B321" s="294"/>
      <c r="C321" s="277"/>
      <c r="D321" s="264"/>
      <c r="E321" s="264"/>
      <c r="F321" s="263"/>
      <c r="G321" s="263"/>
    </row>
    <row r="322" spans="1:7" s="265" customFormat="1" ht="36" customHeight="1" x14ac:dyDescent="0.25">
      <c r="A322" s="293" t="s">
        <v>171</v>
      </c>
      <c r="B322" s="294"/>
      <c r="C322" s="261"/>
      <c r="D322" s="264"/>
      <c r="E322" s="264"/>
      <c r="F322" s="263"/>
      <c r="G322" s="263"/>
    </row>
  </sheetData>
  <sheetProtection password="F965" sheet="1" objects="1" scenarios="1" insertRows="0"/>
  <mergeCells count="2">
    <mergeCell ref="C3:G3"/>
    <mergeCell ref="C2:G2"/>
  </mergeCells>
  <phoneticPr fontId="4" type="noConversion"/>
  <conditionalFormatting sqref="M10:M311">
    <cfRule type="expression" dxfId="144" priority="7">
      <formula>AND(M10&lt;&gt;"",COUNTIF(expenditure_items,M10)=0)</formula>
    </cfRule>
  </conditionalFormatting>
  <conditionalFormatting sqref="L10:L311">
    <cfRule type="expression" dxfId="143" priority="8">
      <formula>AND(L10&lt;&gt;"",COUNTIF(expenditure_items_numbers,L10)=0)</formula>
    </cfRule>
  </conditionalFormatting>
  <conditionalFormatting sqref="O10:O311">
    <cfRule type="expression" dxfId="142" priority="6">
      <formula>AND(O10&lt;&gt;"",COUNTIF(activities,O10)=0)</formula>
    </cfRule>
  </conditionalFormatting>
  <conditionalFormatting sqref="Q10:Q311">
    <cfRule type="expression" dxfId="141" priority="5">
      <formula>AND(Q10&lt;&gt;"",COUNTIF(entities,Q10)=0)</formula>
    </cfRule>
  </conditionalFormatting>
  <conditionalFormatting sqref="G10:G311">
    <cfRule type="expression" dxfId="140" priority="3">
      <formula>AND($G10&lt;&gt;"",OR($G10&lt;project_implementation_start_date,$G10&gt;final_eligibility_date))</formula>
    </cfRule>
  </conditionalFormatting>
  <conditionalFormatting sqref="H10:H311">
    <cfRule type="expression" dxfId="139" priority="1">
      <formula>AND($H10&gt;0,$H10&gt;final_eligibility_date,$H10&lt;=(final_eligibility_date+30))</formula>
    </cfRule>
    <cfRule type="expression" dxfId="138" priority="2">
      <formula>AND($H10&lt;&gt;"",OR($H10&lt;project_implementation_start_date,$H10&gt;(final_eligibility_date+30)))</formula>
    </cfRule>
  </conditionalFormatting>
  <dataValidations count="7">
    <dataValidation type="list" allowBlank="1" showInputMessage="1" showErrorMessage="1" sqref="O10:O311">
      <formula1>activities</formula1>
    </dataValidation>
    <dataValidation type="list" allowBlank="1" showInputMessage="1" showErrorMessage="1" sqref="Q10:Q311">
      <formula1>entities</formula1>
    </dataValidation>
    <dataValidation type="list" allowBlank="1" showInputMessage="1" showErrorMessage="1" sqref="N10:N311">
      <formula1>types_of_expenditure</formula1>
    </dataValidation>
    <dataValidation type="list" allowBlank="1" showInputMessage="1" showErrorMessage="1" sqref="P10:P311">
      <formula1>budget_headings</formula1>
    </dataValidation>
    <dataValidation type="whole" allowBlank="1" showInputMessage="1" showErrorMessage="1" sqref="B2">
      <formula1>0</formula1>
      <formula2>10000000</formula2>
    </dataValidation>
    <dataValidation type="date" allowBlank="1" showInputMessage="1" showErrorMessage="1" errorTitle="Nesprávny dátum" error="Dátum úhrady nesmie byť skorší ako prvý deň oprávnenosti výdavkov, ani neskorší ako posledný deň oprávnenosti výdavkov + 30 dní._x000a_Dátum je potrebné vložiť v tvare DD.MM.RRRR" sqref="H10:H311">
      <formula1>project_implementation_start_date</formula1>
      <formula2>(final_eligibility_date+30)</formula2>
    </dataValidation>
    <dataValidation type="date" allowBlank="1" showErrorMessage="1" errorTitle="Nesprávny dátum" error="Dátum dodania nesmie byť skorší ako prvý deň oprávnenosti výdavkov, ani neskorší ako posledný deň oprávnenosti výdavkov._x000a_Dátum je potrebné vložiť v tvare DD.MM.RRRR" promptTitle="Nesprávny dátum" prompt="Dátum dodanie nesmie byť skorší ako deň začatia realizácie projektu, t.j. skorší ako prvý deň oprávnenosti výdavkov" sqref="G10:G311">
      <formula1>project_implementation_start_date</formula1>
      <formula2>final_eligibility_date</formula2>
    </dataValidation>
  </dataValidations>
  <pageMargins left="0.75" right="0.75" top="1" bottom="1" header="0.4921259845" footer="0.4921259845"/>
  <pageSetup paperSize="9" scale="63" fitToHeight="0" orientation="landscape" r:id="rId1"/>
  <headerFooter alignWithMargins="0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2" id="{75EFDB06-8214-4951-B9F2-0EB9AEBDCDFA}">
            <xm:f>VLOOKUP(L10,ROZPOCET!$A$2:$B$100,2,FALSE)&lt;&gt;M10</xm:f>
            <x14:dxf>
              <fill>
                <patternFill>
                  <bgColor rgb="FFFF0000"/>
                </patternFill>
              </fill>
            </x14:dxf>
          </x14:cfRule>
          <xm:sqref>M10:M311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ROZPOCET!$A$2:$A$100</xm:f>
          </x14:formula1>
          <xm:sqref>L10:L311</xm:sqref>
        </x14:dataValidation>
        <x14:dataValidation type="list" allowBlank="1" showInputMessage="1" showErrorMessage="1">
          <x14:formula1>
            <xm:f>ROZPOCET!$B$2:$B$100</xm:f>
          </x14:formula1>
          <xm:sqref>M10:M311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AC101"/>
  <sheetViews>
    <sheetView showGridLines="0" zoomScale="95" workbookViewId="0"/>
  </sheetViews>
  <sheetFormatPr defaultColWidth="9.109375" defaultRowHeight="15" customHeight="1" outlineLevelCol="1" x14ac:dyDescent="0.25"/>
  <cols>
    <col min="1" max="1" width="4" style="1" customWidth="1"/>
    <col min="2" max="2" width="26" style="1" customWidth="1"/>
    <col min="3" max="6" width="9.6640625" style="1" customWidth="1"/>
    <col min="7" max="7" width="21.88671875" style="1" customWidth="1"/>
    <col min="8" max="8" width="10.88671875" style="1" customWidth="1"/>
    <col min="9" max="9" width="21" style="1" customWidth="1"/>
    <col min="10" max="10" width="10.109375" style="3" customWidth="1"/>
    <col min="11" max="11" width="31.5546875" style="236" customWidth="1"/>
    <col min="12" max="12" width="9.109375" hidden="1" customWidth="1" outlineLevel="1"/>
    <col min="13" max="24" width="9.109375" style="33" hidden="1" customWidth="1" outlineLevel="1"/>
    <col min="25" max="25" width="9.109375" style="33" customWidth="1" collapsed="1"/>
    <col min="26" max="26" width="9.44140625" style="33" customWidth="1"/>
    <col min="27" max="28" width="9.109375" style="33"/>
    <col min="29" max="29" width="9.33203125" style="33" customWidth="1"/>
    <col min="30" max="16384" width="9.109375" style="32"/>
  </cols>
  <sheetData>
    <row r="1" spans="1:29" ht="54" customHeight="1" x14ac:dyDescent="0.25">
      <c r="A1" s="420" t="s">
        <v>420</v>
      </c>
      <c r="B1" s="253" t="s">
        <v>121</v>
      </c>
      <c r="C1" s="254" t="s">
        <v>320</v>
      </c>
      <c r="D1" s="254" t="s">
        <v>413</v>
      </c>
      <c r="E1" s="254" t="s">
        <v>414</v>
      </c>
      <c r="F1" s="254" t="s">
        <v>415</v>
      </c>
      <c r="G1" s="254" t="s">
        <v>416</v>
      </c>
      <c r="H1" s="254" t="s">
        <v>417</v>
      </c>
      <c r="I1" s="254" t="s">
        <v>122</v>
      </c>
      <c r="J1" s="254" t="s">
        <v>165</v>
      </c>
      <c r="K1" s="254" t="s">
        <v>282</v>
      </c>
      <c r="L1" s="254" t="s">
        <v>323</v>
      </c>
      <c r="M1" s="254" t="s">
        <v>324</v>
      </c>
      <c r="N1" s="254" t="s">
        <v>325</v>
      </c>
      <c r="O1" s="254" t="s">
        <v>326</v>
      </c>
      <c r="P1" s="254" t="s">
        <v>332</v>
      </c>
      <c r="Q1" s="254" t="s">
        <v>327</v>
      </c>
      <c r="R1" s="254" t="s">
        <v>328</v>
      </c>
      <c r="S1" s="254" t="s">
        <v>329</v>
      </c>
      <c r="T1" s="254" t="s">
        <v>330</v>
      </c>
      <c r="U1" s="254" t="s">
        <v>331</v>
      </c>
      <c r="V1" s="254" t="s">
        <v>505</v>
      </c>
      <c r="W1" s="254" t="s">
        <v>506</v>
      </c>
      <c r="X1" s="254" t="s">
        <v>742</v>
      </c>
      <c r="Y1" s="254" t="s">
        <v>421</v>
      </c>
      <c r="Z1" s="254" t="s">
        <v>477</v>
      </c>
      <c r="AA1" s="254" t="s">
        <v>422</v>
      </c>
      <c r="AB1" s="421" t="s">
        <v>748</v>
      </c>
      <c r="AC1" s="32"/>
    </row>
    <row r="2" spans="1:29" ht="30" customHeight="1" x14ac:dyDescent="0.25">
      <c r="A2" s="413"/>
      <c r="B2" s="414"/>
      <c r="C2" s="414"/>
      <c r="D2" s="414"/>
      <c r="E2" s="414"/>
      <c r="F2" s="414"/>
      <c r="G2" s="414"/>
      <c r="H2" s="414"/>
      <c r="I2" s="414"/>
      <c r="J2" s="415"/>
      <c r="K2" s="281"/>
      <c r="L2" s="422"/>
      <c r="M2" s="422"/>
      <c r="N2" s="422"/>
      <c r="O2" s="422"/>
      <c r="P2" s="422"/>
      <c r="Q2" s="422"/>
      <c r="R2" s="422"/>
      <c r="S2" s="422"/>
      <c r="T2" s="422"/>
      <c r="U2" s="422"/>
      <c r="V2" s="422"/>
      <c r="W2" s="422"/>
      <c r="X2" s="422">
        <f>SUM(tab_budget[[#This Row],[Poznámky]:[PSP12]])</f>
        <v>0</v>
      </c>
      <c r="Y2" s="422">
        <f>SUMIF(tab_invoices['#],tab_budget[[#This Row],['#]],tab_invoices[Nárokovaná suma])-SUMIF(tab_invoices['#],tab_budget[[#This Row],['#]],tab_invoices[Neoprávnené výdavky])</f>
        <v>0</v>
      </c>
      <c r="Z2" s="422">
        <f>tab_budget[[#This Row],[Medzisúčet]]+tab_budget[[#This Row],[Aktuálna PSP]]</f>
        <v>0</v>
      </c>
      <c r="AA2" s="423">
        <f>IF(tab_budget[[#This Row],[Celková suma]]&gt;0,ROUND(tab_budget[[#This Row],[Čerpanie]]/tab_budget[[#This Row],[Celková suma]],2),0)</f>
        <v>0</v>
      </c>
      <c r="AB2" s="424">
        <f>tab_budget[[#This Row],[Celková suma]]-tab_budget[[#This Row],[Čerpanie]]</f>
        <v>0</v>
      </c>
      <c r="AC2" s="32"/>
    </row>
    <row r="3" spans="1:29" ht="30" customHeight="1" x14ac:dyDescent="0.25">
      <c r="A3" s="413"/>
      <c r="B3" s="414"/>
      <c r="C3" s="414"/>
      <c r="D3" s="414"/>
      <c r="E3" s="414"/>
      <c r="F3" s="414"/>
      <c r="G3" s="414"/>
      <c r="H3" s="414"/>
      <c r="I3" s="414"/>
      <c r="J3" s="415"/>
      <c r="K3" s="281"/>
      <c r="L3" s="422"/>
      <c r="M3" s="422"/>
      <c r="N3" s="422"/>
      <c r="O3" s="422"/>
      <c r="P3" s="422"/>
      <c r="Q3" s="422"/>
      <c r="R3" s="422"/>
      <c r="S3" s="422"/>
      <c r="T3" s="422"/>
      <c r="U3" s="422"/>
      <c r="V3" s="422"/>
      <c r="W3" s="422"/>
      <c r="X3" s="422">
        <f>SUM(tab_budget[[#This Row],[Poznámky]:[PSP12]])</f>
        <v>0</v>
      </c>
      <c r="Y3" s="422">
        <f>SUMIF(tab_invoices['#],tab_budget[[#This Row],['#]],tab_invoices[Nárokovaná suma])-SUMIF(tab_invoices['#],tab_budget[[#This Row],['#]],tab_invoices[Neoprávnené výdavky])</f>
        <v>0</v>
      </c>
      <c r="Z3" s="422">
        <f>tab_budget[[#This Row],[Medzisúčet]]+tab_budget[[#This Row],[Aktuálna PSP]]</f>
        <v>0</v>
      </c>
      <c r="AA3" s="423">
        <f>IF(tab_budget[[#This Row],[Celková suma]]&gt;0,ROUND(tab_budget[[#This Row],[Čerpanie]]/tab_budget[[#This Row],[Celková suma]],2),0)</f>
        <v>0</v>
      </c>
      <c r="AB3" s="424">
        <f>tab_budget[[#This Row],[Celková suma]]-tab_budget[[#This Row],[Čerpanie]]</f>
        <v>0</v>
      </c>
      <c r="AC3" s="32"/>
    </row>
    <row r="4" spans="1:29" ht="30" customHeight="1" x14ac:dyDescent="0.25">
      <c r="A4" s="413"/>
      <c r="B4" s="414"/>
      <c r="C4" s="414"/>
      <c r="D4" s="414"/>
      <c r="E4" s="414"/>
      <c r="F4" s="414"/>
      <c r="G4" s="414"/>
      <c r="H4" s="414"/>
      <c r="I4" s="414"/>
      <c r="J4" s="415"/>
      <c r="K4" s="281"/>
      <c r="L4" s="422"/>
      <c r="M4" s="422"/>
      <c r="N4" s="422"/>
      <c r="O4" s="422"/>
      <c r="P4" s="422"/>
      <c r="Q4" s="422"/>
      <c r="R4" s="422"/>
      <c r="S4" s="422"/>
      <c r="T4" s="422"/>
      <c r="U4" s="422"/>
      <c r="V4" s="422"/>
      <c r="W4" s="422"/>
      <c r="X4" s="422">
        <f>SUM(tab_budget[[#This Row],[Poznámky]:[PSP12]])</f>
        <v>0</v>
      </c>
      <c r="Y4" s="422">
        <f>SUMIF(tab_invoices['#],tab_budget[[#This Row],['#]],tab_invoices[Nárokovaná suma])-SUMIF(tab_invoices['#],tab_budget[[#This Row],['#]],tab_invoices[Neoprávnené výdavky])</f>
        <v>0</v>
      </c>
      <c r="Z4" s="422">
        <f>tab_budget[[#This Row],[Medzisúčet]]+tab_budget[[#This Row],[Aktuálna PSP]]</f>
        <v>0</v>
      </c>
      <c r="AA4" s="423">
        <f>IF(tab_budget[[#This Row],[Celková suma]]&gt;0,ROUND(tab_budget[[#This Row],[Čerpanie]]/tab_budget[[#This Row],[Celková suma]],2),0)</f>
        <v>0</v>
      </c>
      <c r="AB4" s="424">
        <f>tab_budget[[#This Row],[Celková suma]]-tab_budget[[#This Row],[Čerpanie]]</f>
        <v>0</v>
      </c>
      <c r="AC4" s="32"/>
    </row>
    <row r="5" spans="1:29" ht="30" customHeight="1" x14ac:dyDescent="0.25">
      <c r="A5" s="413"/>
      <c r="B5" s="414"/>
      <c r="C5" s="414"/>
      <c r="D5" s="414"/>
      <c r="E5" s="414"/>
      <c r="F5" s="414"/>
      <c r="G5" s="414"/>
      <c r="H5" s="414"/>
      <c r="I5" s="414"/>
      <c r="J5" s="415"/>
      <c r="K5" s="281"/>
      <c r="L5" s="422"/>
      <c r="M5" s="422"/>
      <c r="N5" s="422"/>
      <c r="O5" s="422"/>
      <c r="P5" s="422"/>
      <c r="Q5" s="422"/>
      <c r="R5" s="422"/>
      <c r="S5" s="422"/>
      <c r="T5" s="422"/>
      <c r="U5" s="422"/>
      <c r="V5" s="422"/>
      <c r="W5" s="422"/>
      <c r="X5" s="422">
        <f>SUM(tab_budget[[#This Row],[Poznámky]:[PSP12]])</f>
        <v>0</v>
      </c>
      <c r="Y5" s="422">
        <f>SUMIF(tab_invoices['#],tab_budget[[#This Row],['#]],tab_invoices[Nárokovaná suma])-SUMIF(tab_invoices['#],tab_budget[[#This Row],['#]],tab_invoices[Neoprávnené výdavky])</f>
        <v>0</v>
      </c>
      <c r="Z5" s="422">
        <f>tab_budget[[#This Row],[Medzisúčet]]+tab_budget[[#This Row],[Aktuálna PSP]]</f>
        <v>0</v>
      </c>
      <c r="AA5" s="423">
        <f>IF(tab_budget[[#This Row],[Celková suma]]&gt;0,ROUND(tab_budget[[#This Row],[Čerpanie]]/tab_budget[[#This Row],[Celková suma]],2),0)</f>
        <v>0</v>
      </c>
      <c r="AB5" s="424">
        <f>tab_budget[[#This Row],[Celková suma]]-tab_budget[[#This Row],[Čerpanie]]</f>
        <v>0</v>
      </c>
      <c r="AC5" s="32"/>
    </row>
    <row r="6" spans="1:29" ht="30" customHeight="1" x14ac:dyDescent="0.25">
      <c r="A6" s="413"/>
      <c r="B6" s="414"/>
      <c r="C6" s="414"/>
      <c r="D6" s="414"/>
      <c r="E6" s="414"/>
      <c r="F6" s="414"/>
      <c r="G6" s="414"/>
      <c r="H6" s="414"/>
      <c r="I6" s="414"/>
      <c r="J6" s="415"/>
      <c r="K6" s="281"/>
      <c r="L6" s="422"/>
      <c r="M6" s="422"/>
      <c r="N6" s="422"/>
      <c r="O6" s="422"/>
      <c r="P6" s="422"/>
      <c r="Q6" s="422"/>
      <c r="R6" s="422"/>
      <c r="S6" s="422"/>
      <c r="T6" s="422"/>
      <c r="U6" s="422"/>
      <c r="V6" s="422"/>
      <c r="W6" s="422"/>
      <c r="X6" s="422">
        <f>SUM(tab_budget[[#This Row],[Poznámky]:[PSP12]])</f>
        <v>0</v>
      </c>
      <c r="Y6" s="422">
        <f>SUMIF(tab_invoices['#],tab_budget[[#This Row],['#]],tab_invoices[Nárokovaná suma])-SUMIF(tab_invoices['#],tab_budget[[#This Row],['#]],tab_invoices[Neoprávnené výdavky])</f>
        <v>0</v>
      </c>
      <c r="Z6" s="422">
        <f>tab_budget[[#This Row],[Medzisúčet]]+tab_budget[[#This Row],[Aktuálna PSP]]</f>
        <v>0</v>
      </c>
      <c r="AA6" s="423">
        <f>IF(tab_budget[[#This Row],[Celková suma]]&gt;0,ROUND(tab_budget[[#This Row],[Čerpanie]]/tab_budget[[#This Row],[Celková suma]],2),0)</f>
        <v>0</v>
      </c>
      <c r="AB6" s="424">
        <f>tab_budget[[#This Row],[Celková suma]]-tab_budget[[#This Row],[Čerpanie]]</f>
        <v>0</v>
      </c>
      <c r="AC6" s="32"/>
    </row>
    <row r="7" spans="1:29" ht="30" customHeight="1" x14ac:dyDescent="0.25">
      <c r="A7" s="413"/>
      <c r="B7" s="414"/>
      <c r="C7" s="414"/>
      <c r="D7" s="414"/>
      <c r="E7" s="414"/>
      <c r="F7" s="414"/>
      <c r="G7" s="414"/>
      <c r="H7" s="414"/>
      <c r="I7" s="414"/>
      <c r="J7" s="415"/>
      <c r="K7" s="281"/>
      <c r="L7" s="422"/>
      <c r="M7" s="422"/>
      <c r="N7" s="422"/>
      <c r="O7" s="422"/>
      <c r="P7" s="422"/>
      <c r="Q7" s="422"/>
      <c r="R7" s="422"/>
      <c r="S7" s="422"/>
      <c r="T7" s="422"/>
      <c r="U7" s="422"/>
      <c r="V7" s="422"/>
      <c r="W7" s="422"/>
      <c r="X7" s="422">
        <f>SUM(tab_budget[[#This Row],[Poznámky]:[PSP12]])</f>
        <v>0</v>
      </c>
      <c r="Y7" s="422">
        <f>SUMIF(tab_invoices['#],tab_budget[[#This Row],['#]],tab_invoices[Nárokovaná suma])-SUMIF(tab_invoices['#],tab_budget[[#This Row],['#]],tab_invoices[Neoprávnené výdavky])</f>
        <v>0</v>
      </c>
      <c r="Z7" s="422">
        <f>tab_budget[[#This Row],[Medzisúčet]]+tab_budget[[#This Row],[Aktuálna PSP]]</f>
        <v>0</v>
      </c>
      <c r="AA7" s="423">
        <f>IF(tab_budget[[#This Row],[Celková suma]]&gt;0,ROUND(tab_budget[[#This Row],[Čerpanie]]/tab_budget[[#This Row],[Celková suma]],2),0)</f>
        <v>0</v>
      </c>
      <c r="AB7" s="424">
        <f>tab_budget[[#This Row],[Celková suma]]-tab_budget[[#This Row],[Čerpanie]]</f>
        <v>0</v>
      </c>
      <c r="AC7" s="32"/>
    </row>
    <row r="8" spans="1:29" ht="30" customHeight="1" x14ac:dyDescent="0.25">
      <c r="A8" s="413"/>
      <c r="B8" s="414"/>
      <c r="C8" s="414"/>
      <c r="D8" s="414"/>
      <c r="E8" s="414"/>
      <c r="F8" s="414"/>
      <c r="G8" s="414"/>
      <c r="H8" s="414"/>
      <c r="I8" s="414"/>
      <c r="J8" s="415"/>
      <c r="K8" s="281"/>
      <c r="L8" s="422"/>
      <c r="M8" s="422"/>
      <c r="N8" s="422"/>
      <c r="O8" s="422"/>
      <c r="P8" s="422"/>
      <c r="Q8" s="422"/>
      <c r="R8" s="422"/>
      <c r="S8" s="422"/>
      <c r="T8" s="422"/>
      <c r="U8" s="422"/>
      <c r="V8" s="422"/>
      <c r="W8" s="422"/>
      <c r="X8" s="422">
        <f>SUM(tab_budget[[#This Row],[Poznámky]:[PSP12]])</f>
        <v>0</v>
      </c>
      <c r="Y8" s="422">
        <f>SUMIF(tab_invoices['#],tab_budget[[#This Row],['#]],tab_invoices[Nárokovaná suma])-SUMIF(tab_invoices['#],tab_budget[[#This Row],['#]],tab_invoices[Neoprávnené výdavky])</f>
        <v>0</v>
      </c>
      <c r="Z8" s="422">
        <f>tab_budget[[#This Row],[Medzisúčet]]+tab_budget[[#This Row],[Aktuálna PSP]]</f>
        <v>0</v>
      </c>
      <c r="AA8" s="423">
        <f>IF(tab_budget[[#This Row],[Celková suma]]&gt;0,ROUND(tab_budget[[#This Row],[Čerpanie]]/tab_budget[[#This Row],[Celková suma]],2),0)</f>
        <v>0</v>
      </c>
      <c r="AB8" s="424">
        <f>tab_budget[[#This Row],[Celková suma]]-tab_budget[[#This Row],[Čerpanie]]</f>
        <v>0</v>
      </c>
      <c r="AC8" s="32"/>
    </row>
    <row r="9" spans="1:29" ht="30" customHeight="1" x14ac:dyDescent="0.25">
      <c r="A9" s="413"/>
      <c r="B9" s="414"/>
      <c r="C9" s="414"/>
      <c r="D9" s="414"/>
      <c r="E9" s="414"/>
      <c r="F9" s="414"/>
      <c r="G9" s="414"/>
      <c r="H9" s="414"/>
      <c r="I9" s="414"/>
      <c r="J9" s="415"/>
      <c r="K9" s="281"/>
      <c r="L9" s="422"/>
      <c r="M9" s="422"/>
      <c r="N9" s="422"/>
      <c r="O9" s="422"/>
      <c r="P9" s="422"/>
      <c r="Q9" s="422"/>
      <c r="R9" s="422"/>
      <c r="S9" s="422"/>
      <c r="T9" s="422"/>
      <c r="U9" s="422"/>
      <c r="V9" s="422"/>
      <c r="W9" s="422"/>
      <c r="X9" s="422">
        <f>SUM(tab_budget[[#This Row],[Poznámky]:[PSP12]])</f>
        <v>0</v>
      </c>
      <c r="Y9" s="422">
        <f>SUMIF(tab_invoices['#],tab_budget[[#This Row],['#]],tab_invoices[Nárokovaná suma])-SUMIF(tab_invoices['#],tab_budget[[#This Row],['#]],tab_invoices[Neoprávnené výdavky])</f>
        <v>0</v>
      </c>
      <c r="Z9" s="422">
        <f>tab_budget[[#This Row],[Medzisúčet]]+tab_budget[[#This Row],[Aktuálna PSP]]</f>
        <v>0</v>
      </c>
      <c r="AA9" s="423">
        <f>IF(tab_budget[[#This Row],[Celková suma]]&gt;0,ROUND(tab_budget[[#This Row],[Čerpanie]]/tab_budget[[#This Row],[Celková suma]],2),0)</f>
        <v>0</v>
      </c>
      <c r="AB9" s="424">
        <f>tab_budget[[#This Row],[Celková suma]]-tab_budget[[#This Row],[Čerpanie]]</f>
        <v>0</v>
      </c>
      <c r="AC9" s="32"/>
    </row>
    <row r="10" spans="1:29" ht="30" customHeight="1" x14ac:dyDescent="0.25">
      <c r="A10" s="413"/>
      <c r="B10" s="414"/>
      <c r="C10" s="414"/>
      <c r="D10" s="414"/>
      <c r="E10" s="414"/>
      <c r="F10" s="414"/>
      <c r="G10" s="414"/>
      <c r="H10" s="414"/>
      <c r="I10" s="414"/>
      <c r="J10" s="415"/>
      <c r="K10" s="281"/>
      <c r="L10" s="422"/>
      <c r="M10" s="422"/>
      <c r="N10" s="422"/>
      <c r="O10" s="422"/>
      <c r="P10" s="422"/>
      <c r="Q10" s="422"/>
      <c r="R10" s="422"/>
      <c r="S10" s="422"/>
      <c r="T10" s="422"/>
      <c r="U10" s="422"/>
      <c r="V10" s="422"/>
      <c r="W10" s="422"/>
      <c r="X10" s="422">
        <f>SUM(tab_budget[[#This Row],[Poznámky]:[PSP12]])</f>
        <v>0</v>
      </c>
      <c r="Y10" s="422">
        <f>SUMIF(tab_invoices['#],tab_budget[[#This Row],['#]],tab_invoices[Nárokovaná suma])-SUMIF(tab_invoices['#],tab_budget[[#This Row],['#]],tab_invoices[Neoprávnené výdavky])</f>
        <v>0</v>
      </c>
      <c r="Z10" s="422">
        <f>tab_budget[[#This Row],[Medzisúčet]]+tab_budget[[#This Row],[Aktuálna PSP]]</f>
        <v>0</v>
      </c>
      <c r="AA10" s="423">
        <f>IF(tab_budget[[#This Row],[Celková suma]]&gt;0,ROUND(tab_budget[[#This Row],[Čerpanie]]/tab_budget[[#This Row],[Celková suma]],2),0)</f>
        <v>0</v>
      </c>
      <c r="AB10" s="424">
        <f>tab_budget[[#This Row],[Celková suma]]-tab_budget[[#This Row],[Čerpanie]]</f>
        <v>0</v>
      </c>
      <c r="AC10" s="32"/>
    </row>
    <row r="11" spans="1:29" ht="30" customHeight="1" x14ac:dyDescent="0.25">
      <c r="A11" s="413"/>
      <c r="B11" s="414"/>
      <c r="C11" s="414"/>
      <c r="D11" s="414"/>
      <c r="E11" s="414"/>
      <c r="F11" s="414"/>
      <c r="G11" s="414"/>
      <c r="H11" s="414"/>
      <c r="I11" s="414"/>
      <c r="J11" s="415"/>
      <c r="K11" s="281"/>
      <c r="L11" s="422"/>
      <c r="M11" s="422"/>
      <c r="N11" s="422"/>
      <c r="O11" s="422"/>
      <c r="P11" s="422"/>
      <c r="Q11" s="422"/>
      <c r="R11" s="422"/>
      <c r="S11" s="422"/>
      <c r="T11" s="422"/>
      <c r="U11" s="422"/>
      <c r="V11" s="422"/>
      <c r="W11" s="422"/>
      <c r="X11" s="422">
        <f>SUM(tab_budget[[#This Row],[Poznámky]:[PSP12]])</f>
        <v>0</v>
      </c>
      <c r="Y11" s="422">
        <f>SUMIF(tab_invoices['#],tab_budget[[#This Row],['#]],tab_invoices[Nárokovaná suma])-SUMIF(tab_invoices['#],tab_budget[[#This Row],['#]],tab_invoices[Neoprávnené výdavky])</f>
        <v>0</v>
      </c>
      <c r="Z11" s="422">
        <f>tab_budget[[#This Row],[Medzisúčet]]+tab_budget[[#This Row],[Aktuálna PSP]]</f>
        <v>0</v>
      </c>
      <c r="AA11" s="423">
        <f>IF(tab_budget[[#This Row],[Celková suma]]&gt;0,ROUND(tab_budget[[#This Row],[Čerpanie]]/tab_budget[[#This Row],[Celková suma]],2),0)</f>
        <v>0</v>
      </c>
      <c r="AB11" s="424">
        <f>tab_budget[[#This Row],[Celková suma]]-tab_budget[[#This Row],[Čerpanie]]</f>
        <v>0</v>
      </c>
      <c r="AC11" s="32"/>
    </row>
    <row r="12" spans="1:29" ht="30" customHeight="1" x14ac:dyDescent="0.25">
      <c r="A12" s="413"/>
      <c r="B12" s="414"/>
      <c r="C12" s="414"/>
      <c r="D12" s="414"/>
      <c r="E12" s="414"/>
      <c r="F12" s="414"/>
      <c r="G12" s="414"/>
      <c r="H12" s="414"/>
      <c r="I12" s="414"/>
      <c r="J12" s="415"/>
      <c r="K12" s="281"/>
      <c r="L12" s="422"/>
      <c r="M12" s="422"/>
      <c r="N12" s="422"/>
      <c r="O12" s="422"/>
      <c r="P12" s="422"/>
      <c r="Q12" s="422"/>
      <c r="R12" s="422"/>
      <c r="S12" s="422"/>
      <c r="T12" s="422"/>
      <c r="U12" s="422"/>
      <c r="V12" s="422"/>
      <c r="W12" s="422"/>
      <c r="X12" s="422">
        <f>SUM(tab_budget[[#This Row],[Poznámky]:[PSP12]])</f>
        <v>0</v>
      </c>
      <c r="Y12" s="422">
        <f>SUMIF(tab_invoices['#],tab_budget[[#This Row],['#]],tab_invoices[Nárokovaná suma])-SUMIF(tab_invoices['#],tab_budget[[#This Row],['#]],tab_invoices[Neoprávnené výdavky])</f>
        <v>0</v>
      </c>
      <c r="Z12" s="422">
        <f>tab_budget[[#This Row],[Medzisúčet]]+tab_budget[[#This Row],[Aktuálna PSP]]</f>
        <v>0</v>
      </c>
      <c r="AA12" s="423">
        <f>IF(tab_budget[[#This Row],[Celková suma]]&gt;0,ROUND(tab_budget[[#This Row],[Čerpanie]]/tab_budget[[#This Row],[Celková suma]],2),0)</f>
        <v>0</v>
      </c>
      <c r="AB12" s="424">
        <f>tab_budget[[#This Row],[Celková suma]]-tab_budget[[#This Row],[Čerpanie]]</f>
        <v>0</v>
      </c>
      <c r="AC12" s="32"/>
    </row>
    <row r="13" spans="1:29" ht="30" customHeight="1" x14ac:dyDescent="0.25">
      <c r="A13" s="413"/>
      <c r="B13" s="414"/>
      <c r="C13" s="414"/>
      <c r="D13" s="414"/>
      <c r="E13" s="414"/>
      <c r="F13" s="414"/>
      <c r="G13" s="414"/>
      <c r="H13" s="414"/>
      <c r="I13" s="414"/>
      <c r="J13" s="415"/>
      <c r="K13" s="281"/>
      <c r="L13" s="422"/>
      <c r="M13" s="422"/>
      <c r="N13" s="422"/>
      <c r="O13" s="422"/>
      <c r="P13" s="422"/>
      <c r="Q13" s="422"/>
      <c r="R13" s="422"/>
      <c r="S13" s="422"/>
      <c r="T13" s="422"/>
      <c r="U13" s="422"/>
      <c r="V13" s="422"/>
      <c r="W13" s="422"/>
      <c r="X13" s="422">
        <f>SUM(tab_budget[[#This Row],[Poznámky]:[PSP12]])</f>
        <v>0</v>
      </c>
      <c r="Y13" s="422">
        <f>SUMIF(tab_invoices['#],tab_budget[[#This Row],['#]],tab_invoices[Nárokovaná suma])-SUMIF(tab_invoices['#],tab_budget[[#This Row],['#]],tab_invoices[Neoprávnené výdavky])</f>
        <v>0</v>
      </c>
      <c r="Z13" s="422">
        <f>tab_budget[[#This Row],[Medzisúčet]]+tab_budget[[#This Row],[Aktuálna PSP]]</f>
        <v>0</v>
      </c>
      <c r="AA13" s="423">
        <f>IF(tab_budget[[#This Row],[Celková suma]]&gt;0,ROUND(tab_budget[[#This Row],[Čerpanie]]/tab_budget[[#This Row],[Celková suma]],2),0)</f>
        <v>0</v>
      </c>
      <c r="AB13" s="424">
        <f>tab_budget[[#This Row],[Celková suma]]-tab_budget[[#This Row],[Čerpanie]]</f>
        <v>0</v>
      </c>
      <c r="AC13" s="32"/>
    </row>
    <row r="14" spans="1:29" ht="30" customHeight="1" x14ac:dyDescent="0.25">
      <c r="A14" s="413"/>
      <c r="B14" s="414"/>
      <c r="C14" s="414"/>
      <c r="D14" s="414"/>
      <c r="E14" s="414"/>
      <c r="F14" s="414"/>
      <c r="G14" s="414"/>
      <c r="H14" s="414"/>
      <c r="I14" s="414"/>
      <c r="J14" s="415"/>
      <c r="K14" s="281"/>
      <c r="L14" s="422"/>
      <c r="M14" s="422"/>
      <c r="N14" s="422"/>
      <c r="O14" s="422"/>
      <c r="P14" s="422"/>
      <c r="Q14" s="422"/>
      <c r="R14" s="422"/>
      <c r="S14" s="422"/>
      <c r="T14" s="422"/>
      <c r="U14" s="422"/>
      <c r="V14" s="422"/>
      <c r="W14" s="422"/>
      <c r="X14" s="422">
        <f>SUM(tab_budget[[#This Row],[Poznámky]:[PSP12]])</f>
        <v>0</v>
      </c>
      <c r="Y14" s="422">
        <f>SUMIF(tab_invoices['#],tab_budget[[#This Row],['#]],tab_invoices[Nárokovaná suma])-SUMIF(tab_invoices['#],tab_budget[[#This Row],['#]],tab_invoices[Neoprávnené výdavky])</f>
        <v>0</v>
      </c>
      <c r="Z14" s="422">
        <f>tab_budget[[#This Row],[Medzisúčet]]+tab_budget[[#This Row],[Aktuálna PSP]]</f>
        <v>0</v>
      </c>
      <c r="AA14" s="423">
        <f>IF(tab_budget[[#This Row],[Celková suma]]&gt;0,ROUND(tab_budget[[#This Row],[Čerpanie]]/tab_budget[[#This Row],[Celková suma]],2),0)</f>
        <v>0</v>
      </c>
      <c r="AB14" s="424">
        <f>tab_budget[[#This Row],[Celková suma]]-tab_budget[[#This Row],[Čerpanie]]</f>
        <v>0</v>
      </c>
      <c r="AC14" s="32"/>
    </row>
    <row r="15" spans="1:29" ht="30" customHeight="1" x14ac:dyDescent="0.25">
      <c r="A15" s="413"/>
      <c r="B15" s="414"/>
      <c r="C15" s="414"/>
      <c r="D15" s="414"/>
      <c r="E15" s="414"/>
      <c r="F15" s="414"/>
      <c r="G15" s="414"/>
      <c r="H15" s="414"/>
      <c r="I15" s="414"/>
      <c r="J15" s="415"/>
      <c r="K15" s="281"/>
      <c r="L15" s="422"/>
      <c r="M15" s="422"/>
      <c r="N15" s="422"/>
      <c r="O15" s="422"/>
      <c r="P15" s="422"/>
      <c r="Q15" s="422"/>
      <c r="R15" s="422"/>
      <c r="S15" s="422"/>
      <c r="T15" s="422"/>
      <c r="U15" s="422"/>
      <c r="V15" s="422"/>
      <c r="W15" s="422"/>
      <c r="X15" s="422">
        <f>SUM(tab_budget[[#This Row],[Poznámky]:[PSP12]])</f>
        <v>0</v>
      </c>
      <c r="Y15" s="422">
        <f>SUMIF(tab_invoices['#],tab_budget[[#This Row],['#]],tab_invoices[Nárokovaná suma])-SUMIF(tab_invoices['#],tab_budget[[#This Row],['#]],tab_invoices[Neoprávnené výdavky])</f>
        <v>0</v>
      </c>
      <c r="Z15" s="422">
        <f>tab_budget[[#This Row],[Medzisúčet]]+tab_budget[[#This Row],[Aktuálna PSP]]</f>
        <v>0</v>
      </c>
      <c r="AA15" s="423">
        <f>IF(tab_budget[[#This Row],[Celková suma]]&gt;0,ROUND(tab_budget[[#This Row],[Čerpanie]]/tab_budget[[#This Row],[Celková suma]],2),0)</f>
        <v>0</v>
      </c>
      <c r="AB15" s="424">
        <f>tab_budget[[#This Row],[Celková suma]]-tab_budget[[#This Row],[Čerpanie]]</f>
        <v>0</v>
      </c>
      <c r="AC15" s="32"/>
    </row>
    <row r="16" spans="1:29" ht="30" customHeight="1" x14ac:dyDescent="0.25">
      <c r="A16" s="413"/>
      <c r="B16" s="414"/>
      <c r="C16" s="414"/>
      <c r="D16" s="414"/>
      <c r="E16" s="414"/>
      <c r="F16" s="414"/>
      <c r="G16" s="414"/>
      <c r="H16" s="414"/>
      <c r="I16" s="414"/>
      <c r="J16" s="415"/>
      <c r="K16" s="281"/>
      <c r="L16" s="422"/>
      <c r="M16" s="422"/>
      <c r="N16" s="422"/>
      <c r="O16" s="422"/>
      <c r="P16" s="422"/>
      <c r="Q16" s="422"/>
      <c r="R16" s="422"/>
      <c r="S16" s="422"/>
      <c r="T16" s="422"/>
      <c r="U16" s="422"/>
      <c r="V16" s="422"/>
      <c r="W16" s="422"/>
      <c r="X16" s="422">
        <f>SUM(tab_budget[[#This Row],[Poznámky]:[PSP12]])</f>
        <v>0</v>
      </c>
      <c r="Y16" s="422">
        <f>SUMIF(tab_invoices['#],tab_budget[[#This Row],['#]],tab_invoices[Nárokovaná suma])-SUMIF(tab_invoices['#],tab_budget[[#This Row],['#]],tab_invoices[Neoprávnené výdavky])</f>
        <v>0</v>
      </c>
      <c r="Z16" s="422">
        <f>tab_budget[[#This Row],[Medzisúčet]]+tab_budget[[#This Row],[Aktuálna PSP]]</f>
        <v>0</v>
      </c>
      <c r="AA16" s="423">
        <f>IF(tab_budget[[#This Row],[Celková suma]]&gt;0,ROUND(tab_budget[[#This Row],[Čerpanie]]/tab_budget[[#This Row],[Celková suma]],2),0)</f>
        <v>0</v>
      </c>
      <c r="AB16" s="424">
        <f>tab_budget[[#This Row],[Celková suma]]-tab_budget[[#This Row],[Čerpanie]]</f>
        <v>0</v>
      </c>
      <c r="AC16" s="32"/>
    </row>
    <row r="17" spans="1:29" ht="30" customHeight="1" x14ac:dyDescent="0.25">
      <c r="A17" s="413"/>
      <c r="B17" s="414"/>
      <c r="C17" s="414"/>
      <c r="D17" s="414"/>
      <c r="E17" s="414"/>
      <c r="F17" s="414"/>
      <c r="G17" s="414"/>
      <c r="H17" s="414"/>
      <c r="I17" s="414"/>
      <c r="J17" s="415"/>
      <c r="K17" s="281"/>
      <c r="L17" s="422"/>
      <c r="M17" s="422"/>
      <c r="N17" s="422"/>
      <c r="O17" s="422"/>
      <c r="P17" s="422"/>
      <c r="Q17" s="422"/>
      <c r="R17" s="422"/>
      <c r="S17" s="422"/>
      <c r="T17" s="422"/>
      <c r="U17" s="422"/>
      <c r="V17" s="422"/>
      <c r="W17" s="422"/>
      <c r="X17" s="422">
        <f>SUM(tab_budget[[#This Row],[Poznámky]:[PSP12]])</f>
        <v>0</v>
      </c>
      <c r="Y17" s="422">
        <f>SUMIF(tab_invoices['#],tab_budget[[#This Row],['#]],tab_invoices[Nárokovaná suma])-SUMIF(tab_invoices['#],tab_budget[[#This Row],['#]],tab_invoices[Neoprávnené výdavky])</f>
        <v>0</v>
      </c>
      <c r="Z17" s="422">
        <f>tab_budget[[#This Row],[Medzisúčet]]+tab_budget[[#This Row],[Aktuálna PSP]]</f>
        <v>0</v>
      </c>
      <c r="AA17" s="423">
        <f>IF(tab_budget[[#This Row],[Celková suma]]&gt;0,ROUND(tab_budget[[#This Row],[Čerpanie]]/tab_budget[[#This Row],[Celková suma]],2),0)</f>
        <v>0</v>
      </c>
      <c r="AB17" s="424">
        <f>tab_budget[[#This Row],[Celková suma]]-tab_budget[[#This Row],[Čerpanie]]</f>
        <v>0</v>
      </c>
      <c r="AC17" s="32"/>
    </row>
    <row r="18" spans="1:29" ht="30" customHeight="1" x14ac:dyDescent="0.25">
      <c r="A18" s="413"/>
      <c r="B18" s="414"/>
      <c r="C18" s="414"/>
      <c r="D18" s="414"/>
      <c r="E18" s="414"/>
      <c r="F18" s="414"/>
      <c r="G18" s="414"/>
      <c r="H18" s="414"/>
      <c r="I18" s="414"/>
      <c r="J18" s="415"/>
      <c r="K18" s="281"/>
      <c r="L18" s="422"/>
      <c r="M18" s="422"/>
      <c r="N18" s="422"/>
      <c r="O18" s="422"/>
      <c r="P18" s="422"/>
      <c r="Q18" s="422"/>
      <c r="R18" s="422"/>
      <c r="S18" s="422"/>
      <c r="T18" s="422"/>
      <c r="U18" s="422"/>
      <c r="V18" s="422"/>
      <c r="W18" s="422"/>
      <c r="X18" s="422">
        <f>SUM(tab_budget[[#This Row],[Poznámky]:[PSP12]])</f>
        <v>0</v>
      </c>
      <c r="Y18" s="422">
        <f>SUMIF(tab_invoices['#],tab_budget[[#This Row],['#]],tab_invoices[Nárokovaná suma])-SUMIF(tab_invoices['#],tab_budget[[#This Row],['#]],tab_invoices[Neoprávnené výdavky])</f>
        <v>0</v>
      </c>
      <c r="Z18" s="422">
        <f>tab_budget[[#This Row],[Medzisúčet]]+tab_budget[[#This Row],[Aktuálna PSP]]</f>
        <v>0</v>
      </c>
      <c r="AA18" s="423">
        <f>IF(tab_budget[[#This Row],[Celková suma]]&gt;0,ROUND(tab_budget[[#This Row],[Čerpanie]]/tab_budget[[#This Row],[Celková suma]],2),0)</f>
        <v>0</v>
      </c>
      <c r="AB18" s="424">
        <f>tab_budget[[#This Row],[Celková suma]]-tab_budget[[#This Row],[Čerpanie]]</f>
        <v>0</v>
      </c>
      <c r="AC18" s="32"/>
    </row>
    <row r="19" spans="1:29" ht="30" customHeight="1" x14ac:dyDescent="0.25">
      <c r="A19" s="413"/>
      <c r="B19" s="414"/>
      <c r="C19" s="414"/>
      <c r="D19" s="414"/>
      <c r="E19" s="414"/>
      <c r="F19" s="414"/>
      <c r="G19" s="414"/>
      <c r="H19" s="414"/>
      <c r="I19" s="414"/>
      <c r="J19" s="415"/>
      <c r="K19" s="281"/>
      <c r="L19" s="422"/>
      <c r="M19" s="422"/>
      <c r="N19" s="422"/>
      <c r="O19" s="422"/>
      <c r="P19" s="422"/>
      <c r="Q19" s="422"/>
      <c r="R19" s="422"/>
      <c r="S19" s="422"/>
      <c r="T19" s="422"/>
      <c r="U19" s="422"/>
      <c r="V19" s="422"/>
      <c r="W19" s="422"/>
      <c r="X19" s="422">
        <f>SUM(tab_budget[[#This Row],[Poznámky]:[PSP12]])</f>
        <v>0</v>
      </c>
      <c r="Y19" s="422">
        <f>SUMIF(tab_invoices['#],tab_budget[[#This Row],['#]],tab_invoices[Nárokovaná suma])-SUMIF(tab_invoices['#],tab_budget[[#This Row],['#]],tab_invoices[Neoprávnené výdavky])</f>
        <v>0</v>
      </c>
      <c r="Z19" s="422">
        <f>tab_budget[[#This Row],[Medzisúčet]]+tab_budget[[#This Row],[Aktuálna PSP]]</f>
        <v>0</v>
      </c>
      <c r="AA19" s="423">
        <f>IF(tab_budget[[#This Row],[Celková suma]]&gt;0,ROUND(tab_budget[[#This Row],[Čerpanie]]/tab_budget[[#This Row],[Celková suma]],2),0)</f>
        <v>0</v>
      </c>
      <c r="AB19" s="424">
        <f>tab_budget[[#This Row],[Celková suma]]-tab_budget[[#This Row],[Čerpanie]]</f>
        <v>0</v>
      </c>
      <c r="AC19" s="32"/>
    </row>
    <row r="20" spans="1:29" ht="30" customHeight="1" x14ac:dyDescent="0.25">
      <c r="A20" s="413"/>
      <c r="B20" s="414"/>
      <c r="C20" s="414"/>
      <c r="D20" s="414"/>
      <c r="E20" s="414"/>
      <c r="F20" s="414"/>
      <c r="G20" s="414"/>
      <c r="H20" s="414"/>
      <c r="I20" s="414"/>
      <c r="J20" s="415"/>
      <c r="K20" s="281"/>
      <c r="L20" s="422"/>
      <c r="M20" s="422"/>
      <c r="N20" s="422"/>
      <c r="O20" s="422"/>
      <c r="P20" s="422"/>
      <c r="Q20" s="422"/>
      <c r="R20" s="422"/>
      <c r="S20" s="422"/>
      <c r="T20" s="422"/>
      <c r="U20" s="422"/>
      <c r="V20" s="422"/>
      <c r="W20" s="422"/>
      <c r="X20" s="422">
        <f>SUM(tab_budget[[#This Row],[Poznámky]:[PSP12]])</f>
        <v>0</v>
      </c>
      <c r="Y20" s="422">
        <f>SUMIF(tab_invoices['#],tab_budget[[#This Row],['#]],tab_invoices[Nárokovaná suma])-SUMIF(tab_invoices['#],tab_budget[[#This Row],['#]],tab_invoices[Neoprávnené výdavky])</f>
        <v>0</v>
      </c>
      <c r="Z20" s="422">
        <f>tab_budget[[#This Row],[Medzisúčet]]+tab_budget[[#This Row],[Aktuálna PSP]]</f>
        <v>0</v>
      </c>
      <c r="AA20" s="423">
        <f>IF(tab_budget[[#This Row],[Celková suma]]&gt;0,ROUND(tab_budget[[#This Row],[Čerpanie]]/tab_budget[[#This Row],[Celková suma]],2),0)</f>
        <v>0</v>
      </c>
      <c r="AB20" s="424">
        <f>tab_budget[[#This Row],[Celková suma]]-tab_budget[[#This Row],[Čerpanie]]</f>
        <v>0</v>
      </c>
      <c r="AC20" s="32"/>
    </row>
    <row r="21" spans="1:29" ht="30" customHeight="1" x14ac:dyDescent="0.25">
      <c r="A21" s="413"/>
      <c r="B21" s="414"/>
      <c r="C21" s="414"/>
      <c r="D21" s="414"/>
      <c r="E21" s="414"/>
      <c r="F21" s="414"/>
      <c r="G21" s="414"/>
      <c r="H21" s="414"/>
      <c r="I21" s="414"/>
      <c r="J21" s="415"/>
      <c r="K21" s="281"/>
      <c r="L21" s="422"/>
      <c r="M21" s="422"/>
      <c r="N21" s="422"/>
      <c r="O21" s="422"/>
      <c r="P21" s="422"/>
      <c r="Q21" s="422"/>
      <c r="R21" s="422"/>
      <c r="S21" s="422"/>
      <c r="T21" s="422"/>
      <c r="U21" s="422"/>
      <c r="V21" s="422"/>
      <c r="W21" s="422"/>
      <c r="X21" s="422">
        <f>SUM(tab_budget[[#This Row],[Poznámky]:[PSP12]])</f>
        <v>0</v>
      </c>
      <c r="Y21" s="422">
        <f>SUMIF(tab_invoices['#],tab_budget[[#This Row],['#]],tab_invoices[Nárokovaná suma])-SUMIF(tab_invoices['#],tab_budget[[#This Row],['#]],tab_invoices[Neoprávnené výdavky])</f>
        <v>0</v>
      </c>
      <c r="Z21" s="422">
        <f>tab_budget[[#This Row],[Medzisúčet]]+tab_budget[[#This Row],[Aktuálna PSP]]</f>
        <v>0</v>
      </c>
      <c r="AA21" s="423">
        <f>IF(tab_budget[[#This Row],[Celková suma]]&gt;0,ROUND(tab_budget[[#This Row],[Čerpanie]]/tab_budget[[#This Row],[Celková suma]],2),0)</f>
        <v>0</v>
      </c>
      <c r="AB21" s="424">
        <f>tab_budget[[#This Row],[Celková suma]]-tab_budget[[#This Row],[Čerpanie]]</f>
        <v>0</v>
      </c>
      <c r="AC21" s="32"/>
    </row>
    <row r="22" spans="1:29" ht="30" customHeight="1" x14ac:dyDescent="0.25">
      <c r="A22" s="413"/>
      <c r="B22" s="414"/>
      <c r="C22" s="414"/>
      <c r="D22" s="414"/>
      <c r="E22" s="414"/>
      <c r="F22" s="414"/>
      <c r="G22" s="414"/>
      <c r="H22" s="414"/>
      <c r="I22" s="414"/>
      <c r="J22" s="415"/>
      <c r="K22" s="281"/>
      <c r="L22" s="422"/>
      <c r="M22" s="422"/>
      <c r="N22" s="422"/>
      <c r="O22" s="422"/>
      <c r="P22" s="422"/>
      <c r="Q22" s="422"/>
      <c r="R22" s="422"/>
      <c r="S22" s="422"/>
      <c r="T22" s="422"/>
      <c r="U22" s="422"/>
      <c r="V22" s="422"/>
      <c r="W22" s="422"/>
      <c r="X22" s="422">
        <f>SUM(tab_budget[[#This Row],[Poznámky]:[PSP12]])</f>
        <v>0</v>
      </c>
      <c r="Y22" s="422">
        <f>SUMIF(tab_invoices['#],tab_budget[[#This Row],['#]],tab_invoices[Nárokovaná suma])-SUMIF(tab_invoices['#],tab_budget[[#This Row],['#]],tab_invoices[Neoprávnené výdavky])</f>
        <v>0</v>
      </c>
      <c r="Z22" s="422">
        <f>tab_budget[[#This Row],[Medzisúčet]]+tab_budget[[#This Row],[Aktuálna PSP]]</f>
        <v>0</v>
      </c>
      <c r="AA22" s="423">
        <f>IF(tab_budget[[#This Row],[Celková suma]]&gt;0,ROUND(tab_budget[[#This Row],[Čerpanie]]/tab_budget[[#This Row],[Celková suma]],2),0)</f>
        <v>0</v>
      </c>
      <c r="AB22" s="424">
        <f>tab_budget[[#This Row],[Celková suma]]-tab_budget[[#This Row],[Čerpanie]]</f>
        <v>0</v>
      </c>
      <c r="AC22" s="32"/>
    </row>
    <row r="23" spans="1:29" ht="30" customHeight="1" x14ac:dyDescent="0.25">
      <c r="A23" s="413"/>
      <c r="B23" s="414"/>
      <c r="C23" s="414"/>
      <c r="D23" s="414"/>
      <c r="E23" s="414"/>
      <c r="F23" s="414"/>
      <c r="G23" s="414"/>
      <c r="H23" s="414"/>
      <c r="I23" s="414"/>
      <c r="J23" s="415"/>
      <c r="K23" s="281"/>
      <c r="L23" s="422"/>
      <c r="M23" s="422"/>
      <c r="N23" s="422"/>
      <c r="O23" s="422"/>
      <c r="P23" s="422"/>
      <c r="Q23" s="422"/>
      <c r="R23" s="422"/>
      <c r="S23" s="422"/>
      <c r="T23" s="422"/>
      <c r="U23" s="422"/>
      <c r="V23" s="422"/>
      <c r="W23" s="422"/>
      <c r="X23" s="422">
        <f>SUM(tab_budget[[#This Row],[Poznámky]:[PSP12]])</f>
        <v>0</v>
      </c>
      <c r="Y23" s="422">
        <f>SUMIF(tab_invoices['#],tab_budget[[#This Row],['#]],tab_invoices[Nárokovaná suma])-SUMIF(tab_invoices['#],tab_budget[[#This Row],['#]],tab_invoices[Neoprávnené výdavky])</f>
        <v>0</v>
      </c>
      <c r="Z23" s="422">
        <f>tab_budget[[#This Row],[Medzisúčet]]+tab_budget[[#This Row],[Aktuálna PSP]]</f>
        <v>0</v>
      </c>
      <c r="AA23" s="423">
        <f>IF(tab_budget[[#This Row],[Celková suma]]&gt;0,ROUND(tab_budget[[#This Row],[Čerpanie]]/tab_budget[[#This Row],[Celková suma]],2),0)</f>
        <v>0</v>
      </c>
      <c r="AB23" s="424">
        <f>tab_budget[[#This Row],[Celková suma]]-tab_budget[[#This Row],[Čerpanie]]</f>
        <v>0</v>
      </c>
      <c r="AC23" s="32"/>
    </row>
    <row r="24" spans="1:29" ht="30" customHeight="1" x14ac:dyDescent="0.25">
      <c r="A24" s="413"/>
      <c r="B24" s="414"/>
      <c r="C24" s="414"/>
      <c r="D24" s="414"/>
      <c r="E24" s="414"/>
      <c r="F24" s="414"/>
      <c r="G24" s="414"/>
      <c r="H24" s="414"/>
      <c r="I24" s="414"/>
      <c r="J24" s="415"/>
      <c r="K24" s="281"/>
      <c r="L24" s="422"/>
      <c r="M24" s="422"/>
      <c r="N24" s="422"/>
      <c r="O24" s="422"/>
      <c r="P24" s="422"/>
      <c r="Q24" s="422"/>
      <c r="R24" s="422"/>
      <c r="S24" s="422"/>
      <c r="T24" s="422"/>
      <c r="U24" s="422"/>
      <c r="V24" s="422"/>
      <c r="W24" s="422"/>
      <c r="X24" s="422">
        <f>SUM(tab_budget[[#This Row],[Poznámky]:[PSP12]])</f>
        <v>0</v>
      </c>
      <c r="Y24" s="422">
        <f>SUMIF(tab_invoices['#],tab_budget[[#This Row],['#]],tab_invoices[Nárokovaná suma])-SUMIF(tab_invoices['#],tab_budget[[#This Row],['#]],tab_invoices[Neoprávnené výdavky])</f>
        <v>0</v>
      </c>
      <c r="Z24" s="422">
        <f>tab_budget[[#This Row],[Medzisúčet]]+tab_budget[[#This Row],[Aktuálna PSP]]</f>
        <v>0</v>
      </c>
      <c r="AA24" s="423">
        <f>IF(tab_budget[[#This Row],[Celková suma]]&gt;0,ROUND(tab_budget[[#This Row],[Čerpanie]]/tab_budget[[#This Row],[Celková suma]],2),0)</f>
        <v>0</v>
      </c>
      <c r="AB24" s="424">
        <f>tab_budget[[#This Row],[Celková suma]]-tab_budget[[#This Row],[Čerpanie]]</f>
        <v>0</v>
      </c>
      <c r="AC24" s="32"/>
    </row>
    <row r="25" spans="1:29" ht="30" customHeight="1" x14ac:dyDescent="0.25">
      <c r="A25" s="413"/>
      <c r="B25" s="414"/>
      <c r="C25" s="414"/>
      <c r="D25" s="414"/>
      <c r="E25" s="414"/>
      <c r="F25" s="414"/>
      <c r="G25" s="414"/>
      <c r="H25" s="414"/>
      <c r="I25" s="414"/>
      <c r="J25" s="415"/>
      <c r="K25" s="281"/>
      <c r="L25" s="422"/>
      <c r="M25" s="422"/>
      <c r="N25" s="422"/>
      <c r="O25" s="422"/>
      <c r="P25" s="422"/>
      <c r="Q25" s="422"/>
      <c r="R25" s="422"/>
      <c r="S25" s="422"/>
      <c r="T25" s="422"/>
      <c r="U25" s="422"/>
      <c r="V25" s="422"/>
      <c r="W25" s="422"/>
      <c r="X25" s="422">
        <f>SUM(tab_budget[[#This Row],[Poznámky]:[PSP12]])</f>
        <v>0</v>
      </c>
      <c r="Y25" s="422">
        <f>SUMIF(tab_invoices['#],tab_budget[[#This Row],['#]],tab_invoices[Nárokovaná suma])-SUMIF(tab_invoices['#],tab_budget[[#This Row],['#]],tab_invoices[Neoprávnené výdavky])</f>
        <v>0</v>
      </c>
      <c r="Z25" s="422">
        <f>tab_budget[[#This Row],[Medzisúčet]]+tab_budget[[#This Row],[Aktuálna PSP]]</f>
        <v>0</v>
      </c>
      <c r="AA25" s="423">
        <f>IF(tab_budget[[#This Row],[Celková suma]]&gt;0,ROUND(tab_budget[[#This Row],[Čerpanie]]/tab_budget[[#This Row],[Celková suma]],2),0)</f>
        <v>0</v>
      </c>
      <c r="AB25" s="424">
        <f>tab_budget[[#This Row],[Celková suma]]-tab_budget[[#This Row],[Čerpanie]]</f>
        <v>0</v>
      </c>
      <c r="AC25" s="32"/>
    </row>
    <row r="26" spans="1:29" ht="30" customHeight="1" x14ac:dyDescent="0.25">
      <c r="A26" s="413"/>
      <c r="B26" s="414"/>
      <c r="C26" s="414"/>
      <c r="D26" s="414"/>
      <c r="E26" s="414"/>
      <c r="F26" s="414"/>
      <c r="G26" s="414"/>
      <c r="H26" s="414"/>
      <c r="I26" s="414"/>
      <c r="J26" s="415"/>
      <c r="K26" s="281"/>
      <c r="L26" s="422"/>
      <c r="M26" s="422"/>
      <c r="N26" s="422"/>
      <c r="O26" s="422"/>
      <c r="P26" s="422"/>
      <c r="Q26" s="422"/>
      <c r="R26" s="422"/>
      <c r="S26" s="422"/>
      <c r="T26" s="422"/>
      <c r="U26" s="422"/>
      <c r="V26" s="422"/>
      <c r="W26" s="422"/>
      <c r="X26" s="422">
        <f>SUM(tab_budget[[#This Row],[Poznámky]:[PSP12]])</f>
        <v>0</v>
      </c>
      <c r="Y26" s="422">
        <f>SUMIF(tab_invoices['#],tab_budget[[#This Row],['#]],tab_invoices[Nárokovaná suma])-SUMIF(tab_invoices['#],tab_budget[[#This Row],['#]],tab_invoices[Neoprávnené výdavky])</f>
        <v>0</v>
      </c>
      <c r="Z26" s="422">
        <f>tab_budget[[#This Row],[Medzisúčet]]+tab_budget[[#This Row],[Aktuálna PSP]]</f>
        <v>0</v>
      </c>
      <c r="AA26" s="423">
        <f>IF(tab_budget[[#This Row],[Celková suma]]&gt;0,ROUND(tab_budget[[#This Row],[Čerpanie]]/tab_budget[[#This Row],[Celková suma]],2),0)</f>
        <v>0</v>
      </c>
      <c r="AB26" s="424">
        <f>tab_budget[[#This Row],[Celková suma]]-tab_budget[[#This Row],[Čerpanie]]</f>
        <v>0</v>
      </c>
      <c r="AC26" s="32"/>
    </row>
    <row r="27" spans="1:29" ht="30" customHeight="1" x14ac:dyDescent="0.25">
      <c r="A27" s="413"/>
      <c r="B27" s="414"/>
      <c r="C27" s="414"/>
      <c r="D27" s="414"/>
      <c r="E27" s="414"/>
      <c r="F27" s="414"/>
      <c r="G27" s="414"/>
      <c r="H27" s="414"/>
      <c r="I27" s="414"/>
      <c r="J27" s="415"/>
      <c r="K27" s="281"/>
      <c r="L27" s="422"/>
      <c r="M27" s="422"/>
      <c r="N27" s="422"/>
      <c r="O27" s="422"/>
      <c r="P27" s="422"/>
      <c r="Q27" s="422"/>
      <c r="R27" s="422"/>
      <c r="S27" s="422"/>
      <c r="T27" s="422"/>
      <c r="U27" s="422"/>
      <c r="V27" s="422"/>
      <c r="W27" s="422"/>
      <c r="X27" s="422">
        <f>SUM(tab_budget[[#This Row],[Poznámky]:[PSP12]])</f>
        <v>0</v>
      </c>
      <c r="Y27" s="422">
        <f>SUMIF(tab_invoices['#],tab_budget[[#This Row],['#]],tab_invoices[Nárokovaná suma])-SUMIF(tab_invoices['#],tab_budget[[#This Row],['#]],tab_invoices[Neoprávnené výdavky])</f>
        <v>0</v>
      </c>
      <c r="Z27" s="422">
        <f>tab_budget[[#This Row],[Medzisúčet]]+tab_budget[[#This Row],[Aktuálna PSP]]</f>
        <v>0</v>
      </c>
      <c r="AA27" s="423">
        <f>IF(tab_budget[[#This Row],[Celková suma]]&gt;0,ROUND(tab_budget[[#This Row],[Čerpanie]]/tab_budget[[#This Row],[Celková suma]],2),0)</f>
        <v>0</v>
      </c>
      <c r="AB27" s="424">
        <f>tab_budget[[#This Row],[Celková suma]]-tab_budget[[#This Row],[Čerpanie]]</f>
        <v>0</v>
      </c>
      <c r="AC27" s="32"/>
    </row>
    <row r="28" spans="1:29" ht="30" customHeight="1" x14ac:dyDescent="0.25">
      <c r="A28" s="413"/>
      <c r="B28" s="414"/>
      <c r="C28" s="414"/>
      <c r="D28" s="414"/>
      <c r="E28" s="414"/>
      <c r="F28" s="414"/>
      <c r="G28" s="414"/>
      <c r="H28" s="414"/>
      <c r="I28" s="414"/>
      <c r="J28" s="415"/>
      <c r="K28" s="281"/>
      <c r="L28" s="422"/>
      <c r="M28" s="422"/>
      <c r="N28" s="422"/>
      <c r="O28" s="422"/>
      <c r="P28" s="422"/>
      <c r="Q28" s="422"/>
      <c r="R28" s="422"/>
      <c r="S28" s="422"/>
      <c r="T28" s="422"/>
      <c r="U28" s="422"/>
      <c r="V28" s="422"/>
      <c r="W28" s="422"/>
      <c r="X28" s="422">
        <f>SUM(tab_budget[[#This Row],[Poznámky]:[PSP12]])</f>
        <v>0</v>
      </c>
      <c r="Y28" s="422">
        <f>SUMIF(tab_invoices['#],tab_budget[[#This Row],['#]],tab_invoices[Nárokovaná suma])-SUMIF(tab_invoices['#],tab_budget[[#This Row],['#]],tab_invoices[Neoprávnené výdavky])</f>
        <v>0</v>
      </c>
      <c r="Z28" s="422">
        <f>tab_budget[[#This Row],[Medzisúčet]]+tab_budget[[#This Row],[Aktuálna PSP]]</f>
        <v>0</v>
      </c>
      <c r="AA28" s="423">
        <f>IF(tab_budget[[#This Row],[Celková suma]]&gt;0,ROUND(tab_budget[[#This Row],[Čerpanie]]/tab_budget[[#This Row],[Celková suma]],2),0)</f>
        <v>0</v>
      </c>
      <c r="AB28" s="424">
        <f>tab_budget[[#This Row],[Celková suma]]-tab_budget[[#This Row],[Čerpanie]]</f>
        <v>0</v>
      </c>
      <c r="AC28" s="32"/>
    </row>
    <row r="29" spans="1:29" ht="30" customHeight="1" x14ac:dyDescent="0.25">
      <c r="A29" s="413"/>
      <c r="B29" s="414"/>
      <c r="C29" s="414"/>
      <c r="D29" s="414"/>
      <c r="E29" s="414"/>
      <c r="F29" s="414"/>
      <c r="G29" s="414"/>
      <c r="H29" s="414"/>
      <c r="I29" s="414"/>
      <c r="J29" s="415"/>
      <c r="K29" s="281"/>
      <c r="L29" s="422"/>
      <c r="M29" s="422"/>
      <c r="N29" s="422"/>
      <c r="O29" s="422"/>
      <c r="P29" s="422"/>
      <c r="Q29" s="422"/>
      <c r="R29" s="422"/>
      <c r="S29" s="422"/>
      <c r="T29" s="422"/>
      <c r="U29" s="422"/>
      <c r="V29" s="422"/>
      <c r="W29" s="422"/>
      <c r="X29" s="422">
        <f>SUM(tab_budget[[#This Row],[Poznámky]:[PSP12]])</f>
        <v>0</v>
      </c>
      <c r="Y29" s="422">
        <f>SUMIF(tab_invoices['#],tab_budget[[#This Row],['#]],tab_invoices[Nárokovaná suma])-SUMIF(tab_invoices['#],tab_budget[[#This Row],['#]],tab_invoices[Neoprávnené výdavky])</f>
        <v>0</v>
      </c>
      <c r="Z29" s="422">
        <f>tab_budget[[#This Row],[Medzisúčet]]+tab_budget[[#This Row],[Aktuálna PSP]]</f>
        <v>0</v>
      </c>
      <c r="AA29" s="423">
        <f>IF(tab_budget[[#This Row],[Celková suma]]&gt;0,ROUND(tab_budget[[#This Row],[Čerpanie]]/tab_budget[[#This Row],[Celková suma]],2),0)</f>
        <v>0</v>
      </c>
      <c r="AB29" s="424">
        <f>tab_budget[[#This Row],[Celková suma]]-tab_budget[[#This Row],[Čerpanie]]</f>
        <v>0</v>
      </c>
      <c r="AC29" s="32"/>
    </row>
    <row r="30" spans="1:29" ht="30" customHeight="1" x14ac:dyDescent="0.25">
      <c r="A30" s="413"/>
      <c r="B30" s="414"/>
      <c r="C30" s="414"/>
      <c r="D30" s="414"/>
      <c r="E30" s="414"/>
      <c r="F30" s="414"/>
      <c r="G30" s="414"/>
      <c r="H30" s="414"/>
      <c r="I30" s="414"/>
      <c r="J30" s="415"/>
      <c r="K30" s="281"/>
      <c r="L30" s="422"/>
      <c r="M30" s="422"/>
      <c r="N30" s="422"/>
      <c r="O30" s="422"/>
      <c r="P30" s="422"/>
      <c r="Q30" s="422"/>
      <c r="R30" s="422"/>
      <c r="S30" s="422"/>
      <c r="T30" s="422"/>
      <c r="U30" s="422"/>
      <c r="V30" s="422"/>
      <c r="W30" s="422"/>
      <c r="X30" s="422">
        <f>SUM(tab_budget[[#This Row],[Poznámky]:[PSP12]])</f>
        <v>0</v>
      </c>
      <c r="Y30" s="422">
        <f>SUMIF(tab_invoices['#],tab_budget[[#This Row],['#]],tab_invoices[Nárokovaná suma])-SUMIF(tab_invoices['#],tab_budget[[#This Row],['#]],tab_invoices[Neoprávnené výdavky])</f>
        <v>0</v>
      </c>
      <c r="Z30" s="422">
        <f>tab_budget[[#This Row],[Medzisúčet]]+tab_budget[[#This Row],[Aktuálna PSP]]</f>
        <v>0</v>
      </c>
      <c r="AA30" s="423">
        <f>IF(tab_budget[[#This Row],[Celková suma]]&gt;0,ROUND(tab_budget[[#This Row],[Čerpanie]]/tab_budget[[#This Row],[Celková suma]],2),0)</f>
        <v>0</v>
      </c>
      <c r="AB30" s="424">
        <f>tab_budget[[#This Row],[Celková suma]]-tab_budget[[#This Row],[Čerpanie]]</f>
        <v>0</v>
      </c>
      <c r="AC30" s="32"/>
    </row>
    <row r="31" spans="1:29" ht="30" customHeight="1" x14ac:dyDescent="0.25">
      <c r="A31" s="413"/>
      <c r="B31" s="414"/>
      <c r="C31" s="414"/>
      <c r="D31" s="414"/>
      <c r="E31" s="414"/>
      <c r="F31" s="414"/>
      <c r="G31" s="414"/>
      <c r="H31" s="414"/>
      <c r="I31" s="414"/>
      <c r="J31" s="415"/>
      <c r="K31" s="281"/>
      <c r="L31" s="422"/>
      <c r="M31" s="422"/>
      <c r="N31" s="422"/>
      <c r="O31" s="422"/>
      <c r="P31" s="422"/>
      <c r="Q31" s="422"/>
      <c r="R31" s="422"/>
      <c r="S31" s="422"/>
      <c r="T31" s="422"/>
      <c r="U31" s="422"/>
      <c r="V31" s="422"/>
      <c r="W31" s="422"/>
      <c r="X31" s="422">
        <f>SUM(tab_budget[[#This Row],[Poznámky]:[PSP12]])</f>
        <v>0</v>
      </c>
      <c r="Y31" s="422">
        <f>SUMIF(tab_invoices['#],tab_budget[[#This Row],['#]],tab_invoices[Nárokovaná suma])-SUMIF(tab_invoices['#],tab_budget[[#This Row],['#]],tab_invoices[Neoprávnené výdavky])</f>
        <v>0</v>
      </c>
      <c r="Z31" s="422">
        <f>tab_budget[[#This Row],[Medzisúčet]]+tab_budget[[#This Row],[Aktuálna PSP]]</f>
        <v>0</v>
      </c>
      <c r="AA31" s="423">
        <f>IF(tab_budget[[#This Row],[Celková suma]]&gt;0,ROUND(tab_budget[[#This Row],[Čerpanie]]/tab_budget[[#This Row],[Celková suma]],2),0)</f>
        <v>0</v>
      </c>
      <c r="AB31" s="424">
        <f>tab_budget[[#This Row],[Celková suma]]-tab_budget[[#This Row],[Čerpanie]]</f>
        <v>0</v>
      </c>
      <c r="AC31" s="32"/>
    </row>
    <row r="32" spans="1:29" ht="30" customHeight="1" x14ac:dyDescent="0.25">
      <c r="A32" s="413"/>
      <c r="B32" s="414"/>
      <c r="C32" s="414"/>
      <c r="D32" s="414"/>
      <c r="E32" s="414"/>
      <c r="F32" s="414"/>
      <c r="G32" s="414"/>
      <c r="H32" s="414"/>
      <c r="I32" s="414"/>
      <c r="J32" s="415"/>
      <c r="K32" s="281"/>
      <c r="L32" s="422"/>
      <c r="M32" s="422"/>
      <c r="N32" s="422"/>
      <c r="O32" s="422"/>
      <c r="P32" s="422"/>
      <c r="Q32" s="422"/>
      <c r="R32" s="422"/>
      <c r="S32" s="422"/>
      <c r="T32" s="422"/>
      <c r="U32" s="422"/>
      <c r="V32" s="422"/>
      <c r="W32" s="422"/>
      <c r="X32" s="422">
        <f>SUM(tab_budget[[#This Row],[Poznámky]:[PSP12]])</f>
        <v>0</v>
      </c>
      <c r="Y32" s="422">
        <f>SUMIF(tab_invoices['#],tab_budget[[#This Row],['#]],tab_invoices[Nárokovaná suma])-SUMIF(tab_invoices['#],tab_budget[[#This Row],['#]],tab_invoices[Neoprávnené výdavky])</f>
        <v>0</v>
      </c>
      <c r="Z32" s="422">
        <f>tab_budget[[#This Row],[Medzisúčet]]+tab_budget[[#This Row],[Aktuálna PSP]]</f>
        <v>0</v>
      </c>
      <c r="AA32" s="423">
        <f>IF(tab_budget[[#This Row],[Celková suma]]&gt;0,ROUND(tab_budget[[#This Row],[Čerpanie]]/tab_budget[[#This Row],[Celková suma]],2),0)</f>
        <v>0</v>
      </c>
      <c r="AB32" s="424">
        <f>tab_budget[[#This Row],[Celková suma]]-tab_budget[[#This Row],[Čerpanie]]</f>
        <v>0</v>
      </c>
      <c r="AC32" s="32"/>
    </row>
    <row r="33" spans="1:29" ht="30" customHeight="1" x14ac:dyDescent="0.25">
      <c r="A33" s="413"/>
      <c r="B33" s="414"/>
      <c r="C33" s="414"/>
      <c r="D33" s="414"/>
      <c r="E33" s="414"/>
      <c r="F33" s="414"/>
      <c r="G33" s="414"/>
      <c r="H33" s="414"/>
      <c r="I33" s="414"/>
      <c r="J33" s="415"/>
      <c r="K33" s="281"/>
      <c r="L33" s="422"/>
      <c r="M33" s="422"/>
      <c r="N33" s="422"/>
      <c r="O33" s="422"/>
      <c r="P33" s="422"/>
      <c r="Q33" s="422"/>
      <c r="R33" s="422"/>
      <c r="S33" s="422"/>
      <c r="T33" s="422"/>
      <c r="U33" s="422"/>
      <c r="V33" s="422"/>
      <c r="W33" s="422"/>
      <c r="X33" s="422">
        <f>SUM(tab_budget[[#This Row],[Poznámky]:[PSP12]])</f>
        <v>0</v>
      </c>
      <c r="Y33" s="422">
        <f>SUMIF(tab_invoices['#],tab_budget[[#This Row],['#]],tab_invoices[Nárokovaná suma])-SUMIF(tab_invoices['#],tab_budget[[#This Row],['#]],tab_invoices[Neoprávnené výdavky])</f>
        <v>0</v>
      </c>
      <c r="Z33" s="422">
        <f>tab_budget[[#This Row],[Medzisúčet]]+tab_budget[[#This Row],[Aktuálna PSP]]</f>
        <v>0</v>
      </c>
      <c r="AA33" s="423">
        <f>IF(tab_budget[[#This Row],[Celková suma]]&gt;0,ROUND(tab_budget[[#This Row],[Čerpanie]]/tab_budget[[#This Row],[Celková suma]],2),0)</f>
        <v>0</v>
      </c>
      <c r="AB33" s="424">
        <f>tab_budget[[#This Row],[Celková suma]]-tab_budget[[#This Row],[Čerpanie]]</f>
        <v>0</v>
      </c>
      <c r="AC33" s="32"/>
    </row>
    <row r="34" spans="1:29" ht="30" customHeight="1" x14ac:dyDescent="0.25">
      <c r="A34" s="413"/>
      <c r="B34" s="414"/>
      <c r="C34" s="414"/>
      <c r="D34" s="414"/>
      <c r="E34" s="414"/>
      <c r="F34" s="414"/>
      <c r="G34" s="414"/>
      <c r="H34" s="414"/>
      <c r="I34" s="414"/>
      <c r="J34" s="415"/>
      <c r="K34" s="281"/>
      <c r="L34" s="422"/>
      <c r="M34" s="422"/>
      <c r="N34" s="422"/>
      <c r="O34" s="422"/>
      <c r="P34" s="422"/>
      <c r="Q34" s="422"/>
      <c r="R34" s="422"/>
      <c r="S34" s="422"/>
      <c r="T34" s="422"/>
      <c r="U34" s="422"/>
      <c r="V34" s="422"/>
      <c r="W34" s="422"/>
      <c r="X34" s="422">
        <f>SUM(tab_budget[[#This Row],[Poznámky]:[PSP12]])</f>
        <v>0</v>
      </c>
      <c r="Y34" s="422">
        <f>SUMIF(tab_invoices['#],tab_budget[[#This Row],['#]],tab_invoices[Nárokovaná suma])-SUMIF(tab_invoices['#],tab_budget[[#This Row],['#]],tab_invoices[Neoprávnené výdavky])</f>
        <v>0</v>
      </c>
      <c r="Z34" s="422">
        <f>tab_budget[[#This Row],[Medzisúčet]]+tab_budget[[#This Row],[Aktuálna PSP]]</f>
        <v>0</v>
      </c>
      <c r="AA34" s="423">
        <f>IF(tab_budget[[#This Row],[Celková suma]]&gt;0,ROUND(tab_budget[[#This Row],[Čerpanie]]/tab_budget[[#This Row],[Celková suma]],2),0)</f>
        <v>0</v>
      </c>
      <c r="AB34" s="424">
        <f>tab_budget[[#This Row],[Celková suma]]-tab_budget[[#This Row],[Čerpanie]]</f>
        <v>0</v>
      </c>
      <c r="AC34" s="32"/>
    </row>
    <row r="35" spans="1:29" ht="30" customHeight="1" x14ac:dyDescent="0.25">
      <c r="A35" s="413"/>
      <c r="B35" s="414"/>
      <c r="C35" s="414"/>
      <c r="D35" s="414"/>
      <c r="E35" s="414"/>
      <c r="F35" s="414"/>
      <c r="G35" s="414"/>
      <c r="H35" s="414"/>
      <c r="I35" s="414"/>
      <c r="J35" s="415"/>
      <c r="K35" s="281"/>
      <c r="L35" s="422"/>
      <c r="M35" s="422"/>
      <c r="N35" s="422"/>
      <c r="O35" s="422"/>
      <c r="P35" s="422"/>
      <c r="Q35" s="422"/>
      <c r="R35" s="422"/>
      <c r="S35" s="422"/>
      <c r="T35" s="422"/>
      <c r="U35" s="422"/>
      <c r="V35" s="422"/>
      <c r="W35" s="422"/>
      <c r="X35" s="422">
        <f>SUM(tab_budget[[#This Row],[Poznámky]:[PSP12]])</f>
        <v>0</v>
      </c>
      <c r="Y35" s="422">
        <f>SUMIF(tab_invoices['#],tab_budget[[#This Row],['#]],tab_invoices[Nárokovaná suma])-SUMIF(tab_invoices['#],tab_budget[[#This Row],['#]],tab_invoices[Neoprávnené výdavky])</f>
        <v>0</v>
      </c>
      <c r="Z35" s="422">
        <f>tab_budget[[#This Row],[Medzisúčet]]+tab_budget[[#This Row],[Aktuálna PSP]]</f>
        <v>0</v>
      </c>
      <c r="AA35" s="423">
        <f>IF(tab_budget[[#This Row],[Celková suma]]&gt;0,ROUND(tab_budget[[#This Row],[Čerpanie]]/tab_budget[[#This Row],[Celková suma]],2),0)</f>
        <v>0</v>
      </c>
      <c r="AB35" s="424">
        <f>tab_budget[[#This Row],[Celková suma]]-tab_budget[[#This Row],[Čerpanie]]</f>
        <v>0</v>
      </c>
      <c r="AC35" s="32"/>
    </row>
    <row r="36" spans="1:29" ht="30" customHeight="1" x14ac:dyDescent="0.25">
      <c r="A36" s="413"/>
      <c r="B36" s="414"/>
      <c r="C36" s="414"/>
      <c r="D36" s="414"/>
      <c r="E36" s="414"/>
      <c r="F36" s="414"/>
      <c r="G36" s="414"/>
      <c r="H36" s="414"/>
      <c r="I36" s="414"/>
      <c r="J36" s="415"/>
      <c r="K36" s="281"/>
      <c r="L36" s="422"/>
      <c r="M36" s="422"/>
      <c r="N36" s="422"/>
      <c r="O36" s="422"/>
      <c r="P36" s="422"/>
      <c r="Q36" s="422"/>
      <c r="R36" s="422"/>
      <c r="S36" s="422"/>
      <c r="T36" s="422"/>
      <c r="U36" s="422"/>
      <c r="V36" s="422"/>
      <c r="W36" s="422"/>
      <c r="X36" s="422">
        <f>SUM(tab_budget[[#This Row],[Poznámky]:[PSP12]])</f>
        <v>0</v>
      </c>
      <c r="Y36" s="422">
        <f>SUMIF(tab_invoices['#],tab_budget[[#This Row],['#]],tab_invoices[Nárokovaná suma])-SUMIF(tab_invoices['#],tab_budget[[#This Row],['#]],tab_invoices[Neoprávnené výdavky])</f>
        <v>0</v>
      </c>
      <c r="Z36" s="422">
        <f>tab_budget[[#This Row],[Medzisúčet]]+tab_budget[[#This Row],[Aktuálna PSP]]</f>
        <v>0</v>
      </c>
      <c r="AA36" s="423">
        <f>IF(tab_budget[[#This Row],[Celková suma]]&gt;0,ROUND(tab_budget[[#This Row],[Čerpanie]]/tab_budget[[#This Row],[Celková suma]],2),0)</f>
        <v>0</v>
      </c>
      <c r="AB36" s="424">
        <f>tab_budget[[#This Row],[Celková suma]]-tab_budget[[#This Row],[Čerpanie]]</f>
        <v>0</v>
      </c>
      <c r="AC36" s="32"/>
    </row>
    <row r="37" spans="1:29" ht="30" customHeight="1" x14ac:dyDescent="0.25">
      <c r="A37" s="413"/>
      <c r="B37" s="414"/>
      <c r="C37" s="414"/>
      <c r="D37" s="414"/>
      <c r="E37" s="414"/>
      <c r="F37" s="414"/>
      <c r="G37" s="414"/>
      <c r="H37" s="414"/>
      <c r="I37" s="414"/>
      <c r="J37" s="415"/>
      <c r="K37" s="281"/>
      <c r="L37" s="422"/>
      <c r="M37" s="422"/>
      <c r="N37" s="422"/>
      <c r="O37" s="422"/>
      <c r="P37" s="422"/>
      <c r="Q37" s="422"/>
      <c r="R37" s="422"/>
      <c r="S37" s="422"/>
      <c r="T37" s="422"/>
      <c r="U37" s="422"/>
      <c r="V37" s="422"/>
      <c r="W37" s="422"/>
      <c r="X37" s="422">
        <f>SUM(tab_budget[[#This Row],[Poznámky]:[PSP12]])</f>
        <v>0</v>
      </c>
      <c r="Y37" s="422">
        <f>SUMIF(tab_invoices['#],tab_budget[[#This Row],['#]],tab_invoices[Nárokovaná suma])-SUMIF(tab_invoices['#],tab_budget[[#This Row],['#]],tab_invoices[Neoprávnené výdavky])</f>
        <v>0</v>
      </c>
      <c r="Z37" s="422">
        <f>tab_budget[[#This Row],[Medzisúčet]]+tab_budget[[#This Row],[Aktuálna PSP]]</f>
        <v>0</v>
      </c>
      <c r="AA37" s="423">
        <f>IF(tab_budget[[#This Row],[Celková suma]]&gt;0,ROUND(tab_budget[[#This Row],[Čerpanie]]/tab_budget[[#This Row],[Celková suma]],2),0)</f>
        <v>0</v>
      </c>
      <c r="AB37" s="424">
        <f>tab_budget[[#This Row],[Celková suma]]-tab_budget[[#This Row],[Čerpanie]]</f>
        <v>0</v>
      </c>
      <c r="AC37" s="32"/>
    </row>
    <row r="38" spans="1:29" ht="30" customHeight="1" x14ac:dyDescent="0.25">
      <c r="A38" s="413"/>
      <c r="B38" s="414"/>
      <c r="C38" s="414"/>
      <c r="D38" s="414"/>
      <c r="E38" s="414"/>
      <c r="F38" s="414"/>
      <c r="G38" s="414"/>
      <c r="H38" s="414"/>
      <c r="I38" s="414"/>
      <c r="J38" s="415"/>
      <c r="K38" s="281"/>
      <c r="L38" s="422"/>
      <c r="M38" s="422"/>
      <c r="N38" s="422"/>
      <c r="O38" s="422"/>
      <c r="P38" s="422"/>
      <c r="Q38" s="422"/>
      <c r="R38" s="422"/>
      <c r="S38" s="422"/>
      <c r="T38" s="422"/>
      <c r="U38" s="422"/>
      <c r="V38" s="422"/>
      <c r="W38" s="422"/>
      <c r="X38" s="422">
        <f>SUM(tab_budget[[#This Row],[Poznámky]:[PSP12]])</f>
        <v>0</v>
      </c>
      <c r="Y38" s="422">
        <f>SUMIF(tab_invoices['#],tab_budget[[#This Row],['#]],tab_invoices[Nárokovaná suma])-SUMIF(tab_invoices['#],tab_budget[[#This Row],['#]],tab_invoices[Neoprávnené výdavky])</f>
        <v>0</v>
      </c>
      <c r="Z38" s="422">
        <f>tab_budget[[#This Row],[Medzisúčet]]+tab_budget[[#This Row],[Aktuálna PSP]]</f>
        <v>0</v>
      </c>
      <c r="AA38" s="423">
        <f>IF(tab_budget[[#This Row],[Celková suma]]&gt;0,ROUND(tab_budget[[#This Row],[Čerpanie]]/tab_budget[[#This Row],[Celková suma]],2),0)</f>
        <v>0</v>
      </c>
      <c r="AB38" s="424">
        <f>tab_budget[[#This Row],[Celková suma]]-tab_budget[[#This Row],[Čerpanie]]</f>
        <v>0</v>
      </c>
      <c r="AC38" s="32"/>
    </row>
    <row r="39" spans="1:29" ht="30" customHeight="1" x14ac:dyDescent="0.25">
      <c r="A39" s="413"/>
      <c r="B39" s="414"/>
      <c r="C39" s="414"/>
      <c r="D39" s="414"/>
      <c r="E39" s="414"/>
      <c r="F39" s="414"/>
      <c r="G39" s="414"/>
      <c r="H39" s="414"/>
      <c r="I39" s="414"/>
      <c r="J39" s="415"/>
      <c r="K39" s="281"/>
      <c r="L39" s="422"/>
      <c r="M39" s="422"/>
      <c r="N39" s="422"/>
      <c r="O39" s="422"/>
      <c r="P39" s="422"/>
      <c r="Q39" s="422"/>
      <c r="R39" s="422"/>
      <c r="S39" s="422"/>
      <c r="T39" s="422"/>
      <c r="U39" s="422"/>
      <c r="V39" s="422"/>
      <c r="W39" s="422"/>
      <c r="X39" s="422">
        <f>SUM(tab_budget[[#This Row],[Poznámky]:[PSP12]])</f>
        <v>0</v>
      </c>
      <c r="Y39" s="422">
        <f>SUMIF(tab_invoices['#],tab_budget[[#This Row],['#]],tab_invoices[Nárokovaná suma])-SUMIF(tab_invoices['#],tab_budget[[#This Row],['#]],tab_invoices[Neoprávnené výdavky])</f>
        <v>0</v>
      </c>
      <c r="Z39" s="422">
        <f>tab_budget[[#This Row],[Medzisúčet]]+tab_budget[[#This Row],[Aktuálna PSP]]</f>
        <v>0</v>
      </c>
      <c r="AA39" s="423">
        <f>IF(tab_budget[[#This Row],[Celková suma]]&gt;0,ROUND(tab_budget[[#This Row],[Čerpanie]]/tab_budget[[#This Row],[Celková suma]],2),0)</f>
        <v>0</v>
      </c>
      <c r="AB39" s="424">
        <f>tab_budget[[#This Row],[Celková suma]]-tab_budget[[#This Row],[Čerpanie]]</f>
        <v>0</v>
      </c>
      <c r="AC39" s="32"/>
    </row>
    <row r="40" spans="1:29" ht="30" customHeight="1" x14ac:dyDescent="0.25">
      <c r="A40" s="413"/>
      <c r="B40" s="414"/>
      <c r="C40" s="414"/>
      <c r="D40" s="414"/>
      <c r="E40" s="414"/>
      <c r="F40" s="414"/>
      <c r="G40" s="414"/>
      <c r="H40" s="414"/>
      <c r="I40" s="414"/>
      <c r="J40" s="415"/>
      <c r="K40" s="281"/>
      <c r="L40" s="422"/>
      <c r="M40" s="422"/>
      <c r="N40" s="422"/>
      <c r="O40" s="422"/>
      <c r="P40" s="422"/>
      <c r="Q40" s="422"/>
      <c r="R40" s="422"/>
      <c r="S40" s="422"/>
      <c r="T40" s="422"/>
      <c r="U40" s="422"/>
      <c r="V40" s="422"/>
      <c r="W40" s="422"/>
      <c r="X40" s="422">
        <f>SUM(tab_budget[[#This Row],[Poznámky]:[PSP12]])</f>
        <v>0</v>
      </c>
      <c r="Y40" s="422">
        <f>SUMIF(tab_invoices['#],tab_budget[[#This Row],['#]],tab_invoices[Nárokovaná suma])-SUMIF(tab_invoices['#],tab_budget[[#This Row],['#]],tab_invoices[Neoprávnené výdavky])</f>
        <v>0</v>
      </c>
      <c r="Z40" s="422">
        <f>tab_budget[[#This Row],[Medzisúčet]]+tab_budget[[#This Row],[Aktuálna PSP]]</f>
        <v>0</v>
      </c>
      <c r="AA40" s="423">
        <f>IF(tab_budget[[#This Row],[Celková suma]]&gt;0,ROUND(tab_budget[[#This Row],[Čerpanie]]/tab_budget[[#This Row],[Celková suma]],2),0)</f>
        <v>0</v>
      </c>
      <c r="AB40" s="424">
        <f>tab_budget[[#This Row],[Celková suma]]-tab_budget[[#This Row],[Čerpanie]]</f>
        <v>0</v>
      </c>
      <c r="AC40" s="32"/>
    </row>
    <row r="41" spans="1:29" ht="30" customHeight="1" x14ac:dyDescent="0.25">
      <c r="A41" s="413"/>
      <c r="B41" s="414"/>
      <c r="C41" s="414"/>
      <c r="D41" s="414"/>
      <c r="E41" s="414"/>
      <c r="F41" s="414"/>
      <c r="G41" s="414"/>
      <c r="H41" s="414"/>
      <c r="I41" s="414"/>
      <c r="J41" s="415"/>
      <c r="K41" s="281"/>
      <c r="L41" s="422"/>
      <c r="M41" s="422"/>
      <c r="N41" s="422"/>
      <c r="O41" s="422"/>
      <c r="P41" s="422"/>
      <c r="Q41" s="422"/>
      <c r="R41" s="422"/>
      <c r="S41" s="422"/>
      <c r="T41" s="422"/>
      <c r="U41" s="422"/>
      <c r="V41" s="422"/>
      <c r="W41" s="422"/>
      <c r="X41" s="422">
        <f>SUM(tab_budget[[#This Row],[Poznámky]:[PSP12]])</f>
        <v>0</v>
      </c>
      <c r="Y41" s="422">
        <f>SUMIF(tab_invoices['#],tab_budget[[#This Row],['#]],tab_invoices[Nárokovaná suma])-SUMIF(tab_invoices['#],tab_budget[[#This Row],['#]],tab_invoices[Neoprávnené výdavky])</f>
        <v>0</v>
      </c>
      <c r="Z41" s="422">
        <f>tab_budget[[#This Row],[Medzisúčet]]+tab_budget[[#This Row],[Aktuálna PSP]]</f>
        <v>0</v>
      </c>
      <c r="AA41" s="423">
        <f>IF(tab_budget[[#This Row],[Celková suma]]&gt;0,ROUND(tab_budget[[#This Row],[Čerpanie]]/tab_budget[[#This Row],[Celková suma]],2),0)</f>
        <v>0</v>
      </c>
      <c r="AB41" s="424">
        <f>tab_budget[[#This Row],[Celková suma]]-tab_budget[[#This Row],[Čerpanie]]</f>
        <v>0</v>
      </c>
      <c r="AC41" s="32"/>
    </row>
    <row r="42" spans="1:29" ht="30" customHeight="1" x14ac:dyDescent="0.25">
      <c r="A42" s="413"/>
      <c r="B42" s="414"/>
      <c r="C42" s="414"/>
      <c r="D42" s="414"/>
      <c r="E42" s="414"/>
      <c r="F42" s="414"/>
      <c r="G42" s="414"/>
      <c r="H42" s="414"/>
      <c r="I42" s="414"/>
      <c r="J42" s="415"/>
      <c r="K42" s="281"/>
      <c r="L42" s="422"/>
      <c r="M42" s="422"/>
      <c r="N42" s="422"/>
      <c r="O42" s="422"/>
      <c r="P42" s="422"/>
      <c r="Q42" s="422"/>
      <c r="R42" s="422"/>
      <c r="S42" s="422"/>
      <c r="T42" s="422"/>
      <c r="U42" s="422"/>
      <c r="V42" s="422"/>
      <c r="W42" s="422"/>
      <c r="X42" s="422">
        <f>SUM(tab_budget[[#This Row],[Poznámky]:[PSP12]])</f>
        <v>0</v>
      </c>
      <c r="Y42" s="422">
        <f>SUMIF(tab_invoices['#],tab_budget[[#This Row],['#]],tab_invoices[Nárokovaná suma])-SUMIF(tab_invoices['#],tab_budget[[#This Row],['#]],tab_invoices[Neoprávnené výdavky])</f>
        <v>0</v>
      </c>
      <c r="Z42" s="422">
        <f>tab_budget[[#This Row],[Medzisúčet]]+tab_budget[[#This Row],[Aktuálna PSP]]</f>
        <v>0</v>
      </c>
      <c r="AA42" s="423">
        <f>IF(tab_budget[[#This Row],[Celková suma]]&gt;0,ROUND(tab_budget[[#This Row],[Čerpanie]]/tab_budget[[#This Row],[Celková suma]],2),0)</f>
        <v>0</v>
      </c>
      <c r="AB42" s="424">
        <f>tab_budget[[#This Row],[Celková suma]]-tab_budget[[#This Row],[Čerpanie]]</f>
        <v>0</v>
      </c>
      <c r="AC42" s="32"/>
    </row>
    <row r="43" spans="1:29" ht="30" customHeight="1" x14ac:dyDescent="0.25">
      <c r="A43" s="413"/>
      <c r="B43" s="414"/>
      <c r="C43" s="414"/>
      <c r="D43" s="414"/>
      <c r="E43" s="414"/>
      <c r="F43" s="414"/>
      <c r="G43" s="414"/>
      <c r="H43" s="414"/>
      <c r="I43" s="414"/>
      <c r="J43" s="415"/>
      <c r="K43" s="281"/>
      <c r="L43" s="422"/>
      <c r="M43" s="422"/>
      <c r="N43" s="422"/>
      <c r="O43" s="422"/>
      <c r="P43" s="422"/>
      <c r="Q43" s="422"/>
      <c r="R43" s="422"/>
      <c r="S43" s="422"/>
      <c r="T43" s="422"/>
      <c r="U43" s="422"/>
      <c r="V43" s="422"/>
      <c r="W43" s="422"/>
      <c r="X43" s="422">
        <f>SUM(tab_budget[[#This Row],[Poznámky]:[PSP12]])</f>
        <v>0</v>
      </c>
      <c r="Y43" s="422">
        <f>SUMIF(tab_invoices['#],tab_budget[[#This Row],['#]],tab_invoices[Nárokovaná suma])-SUMIF(tab_invoices['#],tab_budget[[#This Row],['#]],tab_invoices[Neoprávnené výdavky])</f>
        <v>0</v>
      </c>
      <c r="Z43" s="422">
        <f>tab_budget[[#This Row],[Medzisúčet]]+tab_budget[[#This Row],[Aktuálna PSP]]</f>
        <v>0</v>
      </c>
      <c r="AA43" s="423">
        <f>IF(tab_budget[[#This Row],[Celková suma]]&gt;0,ROUND(tab_budget[[#This Row],[Čerpanie]]/tab_budget[[#This Row],[Celková suma]],2),0)</f>
        <v>0</v>
      </c>
      <c r="AB43" s="424">
        <f>tab_budget[[#This Row],[Celková suma]]-tab_budget[[#This Row],[Čerpanie]]</f>
        <v>0</v>
      </c>
      <c r="AC43" s="32"/>
    </row>
    <row r="44" spans="1:29" ht="30" customHeight="1" x14ac:dyDescent="0.25">
      <c r="A44" s="413"/>
      <c r="B44" s="414"/>
      <c r="C44" s="414"/>
      <c r="D44" s="414"/>
      <c r="E44" s="414"/>
      <c r="F44" s="414"/>
      <c r="G44" s="414"/>
      <c r="H44" s="414"/>
      <c r="I44" s="414"/>
      <c r="J44" s="415"/>
      <c r="K44" s="281"/>
      <c r="L44" s="422"/>
      <c r="M44" s="422"/>
      <c r="N44" s="422"/>
      <c r="O44" s="422"/>
      <c r="P44" s="422"/>
      <c r="Q44" s="422"/>
      <c r="R44" s="422"/>
      <c r="S44" s="422"/>
      <c r="T44" s="422"/>
      <c r="U44" s="422"/>
      <c r="V44" s="422"/>
      <c r="W44" s="422"/>
      <c r="X44" s="422">
        <f>SUM(tab_budget[[#This Row],[Poznámky]:[PSP12]])</f>
        <v>0</v>
      </c>
      <c r="Y44" s="422">
        <f>SUMIF(tab_invoices['#],tab_budget[[#This Row],['#]],tab_invoices[Nárokovaná suma])-SUMIF(tab_invoices['#],tab_budget[[#This Row],['#]],tab_invoices[Neoprávnené výdavky])</f>
        <v>0</v>
      </c>
      <c r="Z44" s="422">
        <f>tab_budget[[#This Row],[Medzisúčet]]+tab_budget[[#This Row],[Aktuálna PSP]]</f>
        <v>0</v>
      </c>
      <c r="AA44" s="423">
        <f>IF(tab_budget[[#This Row],[Celková suma]]&gt;0,ROUND(tab_budget[[#This Row],[Čerpanie]]/tab_budget[[#This Row],[Celková suma]],2),0)</f>
        <v>0</v>
      </c>
      <c r="AB44" s="424">
        <f>tab_budget[[#This Row],[Celková suma]]-tab_budget[[#This Row],[Čerpanie]]</f>
        <v>0</v>
      </c>
      <c r="AC44" s="32"/>
    </row>
    <row r="45" spans="1:29" ht="30" customHeight="1" x14ac:dyDescent="0.25">
      <c r="A45" s="413"/>
      <c r="B45" s="414"/>
      <c r="C45" s="414"/>
      <c r="D45" s="414"/>
      <c r="E45" s="414"/>
      <c r="F45" s="414"/>
      <c r="G45" s="414"/>
      <c r="H45" s="414"/>
      <c r="I45" s="414"/>
      <c r="J45" s="415"/>
      <c r="K45" s="281"/>
      <c r="L45" s="422"/>
      <c r="M45" s="422"/>
      <c r="N45" s="422"/>
      <c r="O45" s="422"/>
      <c r="P45" s="422"/>
      <c r="Q45" s="422"/>
      <c r="R45" s="422"/>
      <c r="S45" s="422"/>
      <c r="T45" s="422"/>
      <c r="U45" s="422"/>
      <c r="V45" s="422"/>
      <c r="W45" s="422"/>
      <c r="X45" s="422">
        <f>SUM(tab_budget[[#This Row],[Poznámky]:[PSP12]])</f>
        <v>0</v>
      </c>
      <c r="Y45" s="422">
        <f>SUMIF(tab_invoices['#],tab_budget[[#This Row],['#]],tab_invoices[Nárokovaná suma])-SUMIF(tab_invoices['#],tab_budget[[#This Row],['#]],tab_invoices[Neoprávnené výdavky])</f>
        <v>0</v>
      </c>
      <c r="Z45" s="422">
        <f>tab_budget[[#This Row],[Medzisúčet]]+tab_budget[[#This Row],[Aktuálna PSP]]</f>
        <v>0</v>
      </c>
      <c r="AA45" s="423">
        <f>IF(tab_budget[[#This Row],[Celková suma]]&gt;0,ROUND(tab_budget[[#This Row],[Čerpanie]]/tab_budget[[#This Row],[Celková suma]],2),0)</f>
        <v>0</v>
      </c>
      <c r="AB45" s="424">
        <f>tab_budget[[#This Row],[Celková suma]]-tab_budget[[#This Row],[Čerpanie]]</f>
        <v>0</v>
      </c>
      <c r="AC45" s="32"/>
    </row>
    <row r="46" spans="1:29" ht="30" customHeight="1" x14ac:dyDescent="0.25">
      <c r="A46" s="413"/>
      <c r="B46" s="414"/>
      <c r="C46" s="414"/>
      <c r="D46" s="414"/>
      <c r="E46" s="414"/>
      <c r="F46" s="414"/>
      <c r="G46" s="414"/>
      <c r="H46" s="414"/>
      <c r="I46" s="414"/>
      <c r="J46" s="415"/>
      <c r="K46" s="281"/>
      <c r="L46" s="422"/>
      <c r="M46" s="422"/>
      <c r="N46" s="422"/>
      <c r="O46" s="422"/>
      <c r="P46" s="422"/>
      <c r="Q46" s="422"/>
      <c r="R46" s="422"/>
      <c r="S46" s="422"/>
      <c r="T46" s="422"/>
      <c r="U46" s="422"/>
      <c r="V46" s="422"/>
      <c r="W46" s="422"/>
      <c r="X46" s="422">
        <f>SUM(tab_budget[[#This Row],[Poznámky]:[PSP12]])</f>
        <v>0</v>
      </c>
      <c r="Y46" s="422">
        <f>SUMIF(tab_invoices['#],tab_budget[[#This Row],['#]],tab_invoices[Nárokovaná suma])-SUMIF(tab_invoices['#],tab_budget[[#This Row],['#]],tab_invoices[Neoprávnené výdavky])</f>
        <v>0</v>
      </c>
      <c r="Z46" s="422">
        <f>tab_budget[[#This Row],[Medzisúčet]]+tab_budget[[#This Row],[Aktuálna PSP]]</f>
        <v>0</v>
      </c>
      <c r="AA46" s="423">
        <f>IF(tab_budget[[#This Row],[Celková suma]]&gt;0,ROUND(tab_budget[[#This Row],[Čerpanie]]/tab_budget[[#This Row],[Celková suma]],2),0)</f>
        <v>0</v>
      </c>
      <c r="AB46" s="424">
        <f>tab_budget[[#This Row],[Celková suma]]-tab_budget[[#This Row],[Čerpanie]]</f>
        <v>0</v>
      </c>
      <c r="AC46" s="32"/>
    </row>
    <row r="47" spans="1:29" ht="30" customHeight="1" x14ac:dyDescent="0.25">
      <c r="A47" s="413"/>
      <c r="B47" s="414"/>
      <c r="C47" s="414"/>
      <c r="D47" s="414"/>
      <c r="E47" s="414"/>
      <c r="F47" s="414"/>
      <c r="G47" s="414"/>
      <c r="H47" s="414"/>
      <c r="I47" s="414"/>
      <c r="J47" s="415"/>
      <c r="K47" s="281"/>
      <c r="L47" s="422"/>
      <c r="M47" s="422"/>
      <c r="N47" s="422"/>
      <c r="O47" s="422"/>
      <c r="P47" s="422"/>
      <c r="Q47" s="422"/>
      <c r="R47" s="422"/>
      <c r="S47" s="422"/>
      <c r="T47" s="422"/>
      <c r="U47" s="422"/>
      <c r="V47" s="422"/>
      <c r="W47" s="422"/>
      <c r="X47" s="422">
        <f>SUM(tab_budget[[#This Row],[Poznámky]:[PSP12]])</f>
        <v>0</v>
      </c>
      <c r="Y47" s="422">
        <f>SUMIF(tab_invoices['#],tab_budget[[#This Row],['#]],tab_invoices[Nárokovaná suma])-SUMIF(tab_invoices['#],tab_budget[[#This Row],['#]],tab_invoices[Neoprávnené výdavky])</f>
        <v>0</v>
      </c>
      <c r="Z47" s="422">
        <f>tab_budget[[#This Row],[Medzisúčet]]+tab_budget[[#This Row],[Aktuálna PSP]]</f>
        <v>0</v>
      </c>
      <c r="AA47" s="423">
        <f>IF(tab_budget[[#This Row],[Celková suma]]&gt;0,ROUND(tab_budget[[#This Row],[Čerpanie]]/tab_budget[[#This Row],[Celková suma]],2),0)</f>
        <v>0</v>
      </c>
      <c r="AB47" s="424">
        <f>tab_budget[[#This Row],[Celková suma]]-tab_budget[[#This Row],[Čerpanie]]</f>
        <v>0</v>
      </c>
      <c r="AC47" s="32"/>
    </row>
    <row r="48" spans="1:29" ht="30" customHeight="1" x14ac:dyDescent="0.25">
      <c r="A48" s="413"/>
      <c r="B48" s="414"/>
      <c r="C48" s="414"/>
      <c r="D48" s="414"/>
      <c r="E48" s="414"/>
      <c r="F48" s="414"/>
      <c r="G48" s="414"/>
      <c r="H48" s="414"/>
      <c r="I48" s="414"/>
      <c r="J48" s="415"/>
      <c r="K48" s="281"/>
      <c r="L48" s="422"/>
      <c r="M48" s="422"/>
      <c r="N48" s="422"/>
      <c r="O48" s="422"/>
      <c r="P48" s="422"/>
      <c r="Q48" s="422"/>
      <c r="R48" s="422"/>
      <c r="S48" s="422"/>
      <c r="T48" s="422"/>
      <c r="U48" s="422"/>
      <c r="V48" s="422"/>
      <c r="W48" s="422"/>
      <c r="X48" s="422">
        <f>SUM(tab_budget[[#This Row],[Poznámky]:[PSP12]])</f>
        <v>0</v>
      </c>
      <c r="Y48" s="422">
        <f>SUMIF(tab_invoices['#],tab_budget[[#This Row],['#]],tab_invoices[Nárokovaná suma])-SUMIF(tab_invoices['#],tab_budget[[#This Row],['#]],tab_invoices[Neoprávnené výdavky])</f>
        <v>0</v>
      </c>
      <c r="Z48" s="422">
        <f>tab_budget[[#This Row],[Medzisúčet]]+tab_budget[[#This Row],[Aktuálna PSP]]</f>
        <v>0</v>
      </c>
      <c r="AA48" s="423">
        <f>IF(tab_budget[[#This Row],[Celková suma]]&gt;0,ROUND(tab_budget[[#This Row],[Čerpanie]]/tab_budget[[#This Row],[Celková suma]],2),0)</f>
        <v>0</v>
      </c>
      <c r="AB48" s="424">
        <f>tab_budget[[#This Row],[Celková suma]]-tab_budget[[#This Row],[Čerpanie]]</f>
        <v>0</v>
      </c>
      <c r="AC48" s="32"/>
    </row>
    <row r="49" spans="1:29" ht="30" customHeight="1" x14ac:dyDescent="0.25">
      <c r="A49" s="413"/>
      <c r="B49" s="414"/>
      <c r="C49" s="414"/>
      <c r="D49" s="414"/>
      <c r="E49" s="414"/>
      <c r="F49" s="414"/>
      <c r="G49" s="414"/>
      <c r="H49" s="414"/>
      <c r="I49" s="414"/>
      <c r="J49" s="415"/>
      <c r="K49" s="281"/>
      <c r="L49" s="422"/>
      <c r="M49" s="422"/>
      <c r="N49" s="422"/>
      <c r="O49" s="422"/>
      <c r="P49" s="422"/>
      <c r="Q49" s="422"/>
      <c r="R49" s="422"/>
      <c r="S49" s="422"/>
      <c r="T49" s="422"/>
      <c r="U49" s="422"/>
      <c r="V49" s="422"/>
      <c r="W49" s="422"/>
      <c r="X49" s="422">
        <f>SUM(tab_budget[[#This Row],[Poznámky]:[PSP12]])</f>
        <v>0</v>
      </c>
      <c r="Y49" s="422">
        <f>SUMIF(tab_invoices['#],tab_budget[[#This Row],['#]],tab_invoices[Nárokovaná suma])-SUMIF(tab_invoices['#],tab_budget[[#This Row],['#]],tab_invoices[Neoprávnené výdavky])</f>
        <v>0</v>
      </c>
      <c r="Z49" s="422">
        <f>tab_budget[[#This Row],[Medzisúčet]]+tab_budget[[#This Row],[Aktuálna PSP]]</f>
        <v>0</v>
      </c>
      <c r="AA49" s="423">
        <f>IF(tab_budget[[#This Row],[Celková suma]]&gt;0,ROUND(tab_budget[[#This Row],[Čerpanie]]/tab_budget[[#This Row],[Celková suma]],2),0)</f>
        <v>0</v>
      </c>
      <c r="AB49" s="424">
        <f>tab_budget[[#This Row],[Celková suma]]-tab_budget[[#This Row],[Čerpanie]]</f>
        <v>0</v>
      </c>
      <c r="AC49" s="32"/>
    </row>
    <row r="50" spans="1:29" ht="30" customHeight="1" x14ac:dyDescent="0.25">
      <c r="A50" s="413"/>
      <c r="B50" s="414"/>
      <c r="C50" s="414"/>
      <c r="D50" s="414"/>
      <c r="E50" s="414"/>
      <c r="F50" s="414"/>
      <c r="G50" s="414"/>
      <c r="H50" s="414"/>
      <c r="I50" s="414"/>
      <c r="J50" s="415"/>
      <c r="K50" s="281"/>
      <c r="L50" s="422"/>
      <c r="M50" s="422"/>
      <c r="N50" s="422"/>
      <c r="O50" s="422"/>
      <c r="P50" s="422"/>
      <c r="Q50" s="422"/>
      <c r="R50" s="422"/>
      <c r="S50" s="422"/>
      <c r="T50" s="422"/>
      <c r="U50" s="422"/>
      <c r="V50" s="422"/>
      <c r="W50" s="422"/>
      <c r="X50" s="422">
        <f>SUM(tab_budget[[#This Row],[Poznámky]:[PSP12]])</f>
        <v>0</v>
      </c>
      <c r="Y50" s="422">
        <f>SUMIF(tab_invoices['#],tab_budget[[#This Row],['#]],tab_invoices[Nárokovaná suma])-SUMIF(tab_invoices['#],tab_budget[[#This Row],['#]],tab_invoices[Neoprávnené výdavky])</f>
        <v>0</v>
      </c>
      <c r="Z50" s="422">
        <f>tab_budget[[#This Row],[Medzisúčet]]+tab_budget[[#This Row],[Aktuálna PSP]]</f>
        <v>0</v>
      </c>
      <c r="AA50" s="423">
        <f>IF(tab_budget[[#This Row],[Celková suma]]&gt;0,ROUND(tab_budget[[#This Row],[Čerpanie]]/tab_budget[[#This Row],[Celková suma]],2),0)</f>
        <v>0</v>
      </c>
      <c r="AB50" s="424">
        <f>tab_budget[[#This Row],[Celková suma]]-tab_budget[[#This Row],[Čerpanie]]</f>
        <v>0</v>
      </c>
      <c r="AC50" s="32"/>
    </row>
    <row r="51" spans="1:29" ht="30" customHeight="1" x14ac:dyDescent="0.25">
      <c r="A51" s="413"/>
      <c r="B51" s="414"/>
      <c r="C51" s="414"/>
      <c r="D51" s="414"/>
      <c r="E51" s="414"/>
      <c r="F51" s="414"/>
      <c r="G51" s="414"/>
      <c r="H51" s="414"/>
      <c r="I51" s="414"/>
      <c r="J51" s="415"/>
      <c r="K51" s="281"/>
      <c r="L51" s="422"/>
      <c r="M51" s="422"/>
      <c r="N51" s="422"/>
      <c r="O51" s="422"/>
      <c r="P51" s="422"/>
      <c r="Q51" s="422"/>
      <c r="R51" s="422"/>
      <c r="S51" s="422"/>
      <c r="T51" s="422"/>
      <c r="U51" s="422"/>
      <c r="V51" s="422"/>
      <c r="W51" s="422"/>
      <c r="X51" s="422">
        <f>SUM(tab_budget[[#This Row],[Poznámky]:[PSP12]])</f>
        <v>0</v>
      </c>
      <c r="Y51" s="422">
        <f>SUMIF(tab_invoices['#],tab_budget[[#This Row],['#]],tab_invoices[Nárokovaná suma])-SUMIF(tab_invoices['#],tab_budget[[#This Row],['#]],tab_invoices[Neoprávnené výdavky])</f>
        <v>0</v>
      </c>
      <c r="Z51" s="422">
        <f>tab_budget[[#This Row],[Medzisúčet]]+tab_budget[[#This Row],[Aktuálna PSP]]</f>
        <v>0</v>
      </c>
      <c r="AA51" s="423">
        <f>IF(tab_budget[[#This Row],[Celková suma]]&gt;0,ROUND(tab_budget[[#This Row],[Čerpanie]]/tab_budget[[#This Row],[Celková suma]],2),0)</f>
        <v>0</v>
      </c>
      <c r="AB51" s="424">
        <f>tab_budget[[#This Row],[Celková suma]]-tab_budget[[#This Row],[Čerpanie]]</f>
        <v>0</v>
      </c>
      <c r="AC51" s="32"/>
    </row>
    <row r="52" spans="1:29" ht="30" customHeight="1" x14ac:dyDescent="0.25">
      <c r="A52" s="413"/>
      <c r="B52" s="414"/>
      <c r="C52" s="414"/>
      <c r="D52" s="414"/>
      <c r="E52" s="414"/>
      <c r="F52" s="414"/>
      <c r="G52" s="414"/>
      <c r="H52" s="414"/>
      <c r="I52" s="414"/>
      <c r="J52" s="415"/>
      <c r="K52" s="281"/>
      <c r="L52" s="422"/>
      <c r="M52" s="422"/>
      <c r="N52" s="422"/>
      <c r="O52" s="422"/>
      <c r="P52" s="422"/>
      <c r="Q52" s="422"/>
      <c r="R52" s="422"/>
      <c r="S52" s="422"/>
      <c r="T52" s="422"/>
      <c r="U52" s="422"/>
      <c r="V52" s="422"/>
      <c r="W52" s="422"/>
      <c r="X52" s="422">
        <f>SUM(tab_budget[[#This Row],[Poznámky]:[PSP12]])</f>
        <v>0</v>
      </c>
      <c r="Y52" s="422">
        <f>SUMIF(tab_invoices['#],tab_budget[[#This Row],['#]],tab_invoices[Nárokovaná suma])-SUMIF(tab_invoices['#],tab_budget[[#This Row],['#]],tab_invoices[Neoprávnené výdavky])</f>
        <v>0</v>
      </c>
      <c r="Z52" s="422">
        <f>tab_budget[[#This Row],[Medzisúčet]]+tab_budget[[#This Row],[Aktuálna PSP]]</f>
        <v>0</v>
      </c>
      <c r="AA52" s="423">
        <f>IF(tab_budget[[#This Row],[Celková suma]]&gt;0,ROUND(tab_budget[[#This Row],[Čerpanie]]/tab_budget[[#This Row],[Celková suma]],2),0)</f>
        <v>0</v>
      </c>
      <c r="AB52" s="424">
        <f>tab_budget[[#This Row],[Celková suma]]-tab_budget[[#This Row],[Čerpanie]]</f>
        <v>0</v>
      </c>
      <c r="AC52" s="32"/>
    </row>
    <row r="53" spans="1:29" ht="30" customHeight="1" x14ac:dyDescent="0.25">
      <c r="A53" s="413"/>
      <c r="B53" s="414"/>
      <c r="C53" s="414"/>
      <c r="D53" s="414"/>
      <c r="E53" s="414"/>
      <c r="F53" s="414"/>
      <c r="G53" s="414"/>
      <c r="H53" s="414"/>
      <c r="I53" s="414"/>
      <c r="J53" s="415"/>
      <c r="K53" s="281"/>
      <c r="L53" s="422"/>
      <c r="M53" s="422"/>
      <c r="N53" s="422"/>
      <c r="O53" s="422"/>
      <c r="P53" s="422"/>
      <c r="Q53" s="422"/>
      <c r="R53" s="422"/>
      <c r="S53" s="422"/>
      <c r="T53" s="422"/>
      <c r="U53" s="422"/>
      <c r="V53" s="422"/>
      <c r="W53" s="422"/>
      <c r="X53" s="422">
        <f>SUM(tab_budget[[#This Row],[Poznámky]:[PSP12]])</f>
        <v>0</v>
      </c>
      <c r="Y53" s="422">
        <f>SUMIF(tab_invoices['#],tab_budget[[#This Row],['#]],tab_invoices[Nárokovaná suma])-SUMIF(tab_invoices['#],tab_budget[[#This Row],['#]],tab_invoices[Neoprávnené výdavky])</f>
        <v>0</v>
      </c>
      <c r="Z53" s="422">
        <f>tab_budget[[#This Row],[Medzisúčet]]+tab_budget[[#This Row],[Aktuálna PSP]]</f>
        <v>0</v>
      </c>
      <c r="AA53" s="423">
        <f>IF(tab_budget[[#This Row],[Celková suma]]&gt;0,ROUND(tab_budget[[#This Row],[Čerpanie]]/tab_budget[[#This Row],[Celková suma]],2),0)</f>
        <v>0</v>
      </c>
      <c r="AB53" s="424">
        <f>tab_budget[[#This Row],[Celková suma]]-tab_budget[[#This Row],[Čerpanie]]</f>
        <v>0</v>
      </c>
      <c r="AC53" s="32"/>
    </row>
    <row r="54" spans="1:29" ht="30" customHeight="1" x14ac:dyDescent="0.25">
      <c r="A54" s="413"/>
      <c r="B54" s="414"/>
      <c r="C54" s="414"/>
      <c r="D54" s="414"/>
      <c r="E54" s="414"/>
      <c r="F54" s="414"/>
      <c r="G54" s="414"/>
      <c r="H54" s="414"/>
      <c r="I54" s="414"/>
      <c r="J54" s="415"/>
      <c r="K54" s="281"/>
      <c r="L54" s="422"/>
      <c r="M54" s="422"/>
      <c r="N54" s="422"/>
      <c r="O54" s="422"/>
      <c r="P54" s="422"/>
      <c r="Q54" s="422"/>
      <c r="R54" s="422"/>
      <c r="S54" s="422"/>
      <c r="T54" s="422"/>
      <c r="U54" s="422"/>
      <c r="V54" s="422"/>
      <c r="W54" s="422"/>
      <c r="X54" s="422">
        <f>SUM(tab_budget[[#This Row],[Poznámky]:[PSP12]])</f>
        <v>0</v>
      </c>
      <c r="Y54" s="422">
        <f>SUMIF(tab_invoices['#],tab_budget[[#This Row],['#]],tab_invoices[Nárokovaná suma])-SUMIF(tab_invoices['#],tab_budget[[#This Row],['#]],tab_invoices[Neoprávnené výdavky])</f>
        <v>0</v>
      </c>
      <c r="Z54" s="422">
        <f>tab_budget[[#This Row],[Medzisúčet]]+tab_budget[[#This Row],[Aktuálna PSP]]</f>
        <v>0</v>
      </c>
      <c r="AA54" s="423">
        <f>IF(tab_budget[[#This Row],[Celková suma]]&gt;0,ROUND(tab_budget[[#This Row],[Čerpanie]]/tab_budget[[#This Row],[Celková suma]],2),0)</f>
        <v>0</v>
      </c>
      <c r="AB54" s="424">
        <f>tab_budget[[#This Row],[Celková suma]]-tab_budget[[#This Row],[Čerpanie]]</f>
        <v>0</v>
      </c>
      <c r="AC54" s="32"/>
    </row>
    <row r="55" spans="1:29" ht="30" customHeight="1" x14ac:dyDescent="0.25">
      <c r="A55" s="413"/>
      <c r="B55" s="414"/>
      <c r="C55" s="414"/>
      <c r="D55" s="414"/>
      <c r="E55" s="414"/>
      <c r="F55" s="414"/>
      <c r="G55" s="414"/>
      <c r="H55" s="414"/>
      <c r="I55" s="414"/>
      <c r="J55" s="415"/>
      <c r="K55" s="281"/>
      <c r="L55" s="422"/>
      <c r="M55" s="422"/>
      <c r="N55" s="422"/>
      <c r="O55" s="422"/>
      <c r="P55" s="422"/>
      <c r="Q55" s="422"/>
      <c r="R55" s="422"/>
      <c r="S55" s="422"/>
      <c r="T55" s="422"/>
      <c r="U55" s="422"/>
      <c r="V55" s="422"/>
      <c r="W55" s="422"/>
      <c r="X55" s="422">
        <f>SUM(tab_budget[[#This Row],[Poznámky]:[PSP12]])</f>
        <v>0</v>
      </c>
      <c r="Y55" s="422">
        <f>SUMIF(tab_invoices['#],tab_budget[[#This Row],['#]],tab_invoices[Nárokovaná suma])-SUMIF(tab_invoices['#],tab_budget[[#This Row],['#]],tab_invoices[Neoprávnené výdavky])</f>
        <v>0</v>
      </c>
      <c r="Z55" s="422">
        <f>tab_budget[[#This Row],[Medzisúčet]]+tab_budget[[#This Row],[Aktuálna PSP]]</f>
        <v>0</v>
      </c>
      <c r="AA55" s="423">
        <f>IF(tab_budget[[#This Row],[Celková suma]]&gt;0,ROUND(tab_budget[[#This Row],[Čerpanie]]/tab_budget[[#This Row],[Celková suma]],2),0)</f>
        <v>0</v>
      </c>
      <c r="AB55" s="424">
        <f>tab_budget[[#This Row],[Celková suma]]-tab_budget[[#This Row],[Čerpanie]]</f>
        <v>0</v>
      </c>
      <c r="AC55" s="32"/>
    </row>
    <row r="56" spans="1:29" ht="30" customHeight="1" x14ac:dyDescent="0.25">
      <c r="A56" s="413"/>
      <c r="B56" s="414"/>
      <c r="C56" s="414"/>
      <c r="D56" s="414"/>
      <c r="E56" s="414"/>
      <c r="F56" s="414"/>
      <c r="G56" s="414"/>
      <c r="H56" s="414"/>
      <c r="I56" s="414"/>
      <c r="J56" s="415"/>
      <c r="K56" s="281"/>
      <c r="L56" s="422"/>
      <c r="M56" s="422"/>
      <c r="N56" s="422"/>
      <c r="O56" s="422"/>
      <c r="P56" s="422"/>
      <c r="Q56" s="422"/>
      <c r="R56" s="422"/>
      <c r="S56" s="422"/>
      <c r="T56" s="422"/>
      <c r="U56" s="422"/>
      <c r="V56" s="422"/>
      <c r="W56" s="422"/>
      <c r="X56" s="422">
        <f>SUM(tab_budget[[#This Row],[Poznámky]:[PSP12]])</f>
        <v>0</v>
      </c>
      <c r="Y56" s="422">
        <f>SUMIF(tab_invoices['#],tab_budget[[#This Row],['#]],tab_invoices[Nárokovaná suma])-SUMIF(tab_invoices['#],tab_budget[[#This Row],['#]],tab_invoices[Neoprávnené výdavky])</f>
        <v>0</v>
      </c>
      <c r="Z56" s="422">
        <f>tab_budget[[#This Row],[Medzisúčet]]+tab_budget[[#This Row],[Aktuálna PSP]]</f>
        <v>0</v>
      </c>
      <c r="AA56" s="423">
        <f>IF(tab_budget[[#This Row],[Celková suma]]&gt;0,ROUND(tab_budget[[#This Row],[Čerpanie]]/tab_budget[[#This Row],[Celková suma]],2),0)</f>
        <v>0</v>
      </c>
      <c r="AB56" s="424">
        <f>tab_budget[[#This Row],[Celková suma]]-tab_budget[[#This Row],[Čerpanie]]</f>
        <v>0</v>
      </c>
      <c r="AC56" s="32"/>
    </row>
    <row r="57" spans="1:29" ht="30" customHeight="1" x14ac:dyDescent="0.25">
      <c r="A57" s="413"/>
      <c r="B57" s="414"/>
      <c r="C57" s="414"/>
      <c r="D57" s="414"/>
      <c r="E57" s="414"/>
      <c r="F57" s="414"/>
      <c r="G57" s="414"/>
      <c r="H57" s="414"/>
      <c r="I57" s="414"/>
      <c r="J57" s="415"/>
      <c r="K57" s="281"/>
      <c r="L57" s="422"/>
      <c r="M57" s="422"/>
      <c r="N57" s="422"/>
      <c r="O57" s="422"/>
      <c r="P57" s="422"/>
      <c r="Q57" s="422"/>
      <c r="R57" s="422"/>
      <c r="S57" s="422"/>
      <c r="T57" s="422"/>
      <c r="U57" s="422"/>
      <c r="V57" s="422"/>
      <c r="W57" s="422"/>
      <c r="X57" s="422">
        <f>SUM(tab_budget[[#This Row],[Poznámky]:[PSP12]])</f>
        <v>0</v>
      </c>
      <c r="Y57" s="422">
        <f>SUMIF(tab_invoices['#],tab_budget[[#This Row],['#]],tab_invoices[Nárokovaná suma])-SUMIF(tab_invoices['#],tab_budget[[#This Row],['#]],tab_invoices[Neoprávnené výdavky])</f>
        <v>0</v>
      </c>
      <c r="Z57" s="422">
        <f>tab_budget[[#This Row],[Medzisúčet]]+tab_budget[[#This Row],[Aktuálna PSP]]</f>
        <v>0</v>
      </c>
      <c r="AA57" s="423">
        <f>IF(tab_budget[[#This Row],[Celková suma]]&gt;0,ROUND(tab_budget[[#This Row],[Čerpanie]]/tab_budget[[#This Row],[Celková suma]],2),0)</f>
        <v>0</v>
      </c>
      <c r="AB57" s="424">
        <f>tab_budget[[#This Row],[Celková suma]]-tab_budget[[#This Row],[Čerpanie]]</f>
        <v>0</v>
      </c>
      <c r="AC57" s="32"/>
    </row>
    <row r="58" spans="1:29" ht="30" customHeight="1" x14ac:dyDescent="0.25">
      <c r="A58" s="413"/>
      <c r="B58" s="414"/>
      <c r="C58" s="414"/>
      <c r="D58" s="414"/>
      <c r="E58" s="414"/>
      <c r="F58" s="414"/>
      <c r="G58" s="414"/>
      <c r="H58" s="414"/>
      <c r="I58" s="414"/>
      <c r="J58" s="415"/>
      <c r="K58" s="281"/>
      <c r="L58" s="422"/>
      <c r="M58" s="422"/>
      <c r="N58" s="422"/>
      <c r="O58" s="422"/>
      <c r="P58" s="422"/>
      <c r="Q58" s="422"/>
      <c r="R58" s="422"/>
      <c r="S58" s="422"/>
      <c r="T58" s="422"/>
      <c r="U58" s="422"/>
      <c r="V58" s="422"/>
      <c r="W58" s="422"/>
      <c r="X58" s="422">
        <f>SUM(tab_budget[[#This Row],[Poznámky]:[PSP12]])</f>
        <v>0</v>
      </c>
      <c r="Y58" s="422">
        <f>SUMIF(tab_invoices['#],tab_budget[[#This Row],['#]],tab_invoices[Nárokovaná suma])-SUMIF(tab_invoices['#],tab_budget[[#This Row],['#]],tab_invoices[Neoprávnené výdavky])</f>
        <v>0</v>
      </c>
      <c r="Z58" s="422">
        <f>tab_budget[[#This Row],[Medzisúčet]]+tab_budget[[#This Row],[Aktuálna PSP]]</f>
        <v>0</v>
      </c>
      <c r="AA58" s="423">
        <f>IF(tab_budget[[#This Row],[Celková suma]]&gt;0,ROUND(tab_budget[[#This Row],[Čerpanie]]/tab_budget[[#This Row],[Celková suma]],2),0)</f>
        <v>0</v>
      </c>
      <c r="AB58" s="424">
        <f>tab_budget[[#This Row],[Celková suma]]-tab_budget[[#This Row],[Čerpanie]]</f>
        <v>0</v>
      </c>
      <c r="AC58" s="32"/>
    </row>
    <row r="59" spans="1:29" ht="30" customHeight="1" x14ac:dyDescent="0.25">
      <c r="A59" s="413"/>
      <c r="B59" s="414"/>
      <c r="C59" s="414"/>
      <c r="D59" s="414"/>
      <c r="E59" s="414"/>
      <c r="F59" s="414"/>
      <c r="G59" s="414"/>
      <c r="H59" s="414"/>
      <c r="I59" s="414"/>
      <c r="J59" s="415"/>
      <c r="K59" s="281"/>
      <c r="L59" s="422"/>
      <c r="M59" s="422"/>
      <c r="N59" s="422"/>
      <c r="O59" s="422"/>
      <c r="P59" s="422"/>
      <c r="Q59" s="422"/>
      <c r="R59" s="422"/>
      <c r="S59" s="422"/>
      <c r="T59" s="422"/>
      <c r="U59" s="422"/>
      <c r="V59" s="422"/>
      <c r="W59" s="422"/>
      <c r="X59" s="422">
        <f>SUM(tab_budget[[#This Row],[Poznámky]:[PSP12]])</f>
        <v>0</v>
      </c>
      <c r="Y59" s="422">
        <f>SUMIF(tab_invoices['#],tab_budget[[#This Row],['#]],tab_invoices[Nárokovaná suma])-SUMIF(tab_invoices['#],tab_budget[[#This Row],['#]],tab_invoices[Neoprávnené výdavky])</f>
        <v>0</v>
      </c>
      <c r="Z59" s="422">
        <f>tab_budget[[#This Row],[Medzisúčet]]+tab_budget[[#This Row],[Aktuálna PSP]]</f>
        <v>0</v>
      </c>
      <c r="AA59" s="423">
        <f>IF(tab_budget[[#This Row],[Celková suma]]&gt;0,ROUND(tab_budget[[#This Row],[Čerpanie]]/tab_budget[[#This Row],[Celková suma]],2),0)</f>
        <v>0</v>
      </c>
      <c r="AB59" s="424">
        <f>tab_budget[[#This Row],[Celková suma]]-tab_budget[[#This Row],[Čerpanie]]</f>
        <v>0</v>
      </c>
      <c r="AC59" s="32"/>
    </row>
    <row r="60" spans="1:29" ht="30" customHeight="1" x14ac:dyDescent="0.25">
      <c r="A60" s="413"/>
      <c r="B60" s="414"/>
      <c r="C60" s="414"/>
      <c r="D60" s="414"/>
      <c r="E60" s="414"/>
      <c r="F60" s="414"/>
      <c r="G60" s="414"/>
      <c r="H60" s="414"/>
      <c r="I60" s="414"/>
      <c r="J60" s="415"/>
      <c r="K60" s="281"/>
      <c r="L60" s="422"/>
      <c r="M60" s="422"/>
      <c r="N60" s="422"/>
      <c r="O60" s="422"/>
      <c r="P60" s="422"/>
      <c r="Q60" s="422"/>
      <c r="R60" s="422"/>
      <c r="S60" s="422"/>
      <c r="T60" s="422"/>
      <c r="U60" s="422"/>
      <c r="V60" s="422"/>
      <c r="W60" s="422"/>
      <c r="X60" s="422">
        <f>SUM(tab_budget[[#This Row],[Poznámky]:[PSP12]])</f>
        <v>0</v>
      </c>
      <c r="Y60" s="422">
        <f>SUMIF(tab_invoices['#],tab_budget[[#This Row],['#]],tab_invoices[Nárokovaná suma])-SUMIF(tab_invoices['#],tab_budget[[#This Row],['#]],tab_invoices[Neoprávnené výdavky])</f>
        <v>0</v>
      </c>
      <c r="Z60" s="422">
        <f>tab_budget[[#This Row],[Medzisúčet]]+tab_budget[[#This Row],[Aktuálna PSP]]</f>
        <v>0</v>
      </c>
      <c r="AA60" s="423">
        <f>IF(tab_budget[[#This Row],[Celková suma]]&gt;0,ROUND(tab_budget[[#This Row],[Čerpanie]]/tab_budget[[#This Row],[Celková suma]],2),0)</f>
        <v>0</v>
      </c>
      <c r="AB60" s="424">
        <f>tab_budget[[#This Row],[Celková suma]]-tab_budget[[#This Row],[Čerpanie]]</f>
        <v>0</v>
      </c>
      <c r="AC60" s="32"/>
    </row>
    <row r="61" spans="1:29" ht="30" customHeight="1" x14ac:dyDescent="0.25">
      <c r="A61" s="413"/>
      <c r="B61" s="414"/>
      <c r="C61" s="414"/>
      <c r="D61" s="414"/>
      <c r="E61" s="414"/>
      <c r="F61" s="414"/>
      <c r="G61" s="414"/>
      <c r="H61" s="414"/>
      <c r="I61" s="414"/>
      <c r="J61" s="415"/>
      <c r="K61" s="281"/>
      <c r="L61" s="422"/>
      <c r="M61" s="422"/>
      <c r="N61" s="422"/>
      <c r="O61" s="422"/>
      <c r="P61" s="422"/>
      <c r="Q61" s="422"/>
      <c r="R61" s="422"/>
      <c r="S61" s="422"/>
      <c r="T61" s="422"/>
      <c r="U61" s="422"/>
      <c r="V61" s="422"/>
      <c r="W61" s="422"/>
      <c r="X61" s="422">
        <f>SUM(tab_budget[[#This Row],[Poznámky]:[PSP12]])</f>
        <v>0</v>
      </c>
      <c r="Y61" s="422">
        <f>SUMIF(tab_invoices['#],tab_budget[[#This Row],['#]],tab_invoices[Nárokovaná suma])-SUMIF(tab_invoices['#],tab_budget[[#This Row],['#]],tab_invoices[Neoprávnené výdavky])</f>
        <v>0</v>
      </c>
      <c r="Z61" s="422">
        <f>tab_budget[[#This Row],[Medzisúčet]]+tab_budget[[#This Row],[Aktuálna PSP]]</f>
        <v>0</v>
      </c>
      <c r="AA61" s="423">
        <f>IF(tab_budget[[#This Row],[Celková suma]]&gt;0,ROUND(tab_budget[[#This Row],[Čerpanie]]/tab_budget[[#This Row],[Celková suma]],2),0)</f>
        <v>0</v>
      </c>
      <c r="AB61" s="424">
        <f>tab_budget[[#This Row],[Celková suma]]-tab_budget[[#This Row],[Čerpanie]]</f>
        <v>0</v>
      </c>
      <c r="AC61" s="32"/>
    </row>
    <row r="62" spans="1:29" ht="30" customHeight="1" x14ac:dyDescent="0.25">
      <c r="A62" s="413"/>
      <c r="B62" s="414"/>
      <c r="C62" s="414"/>
      <c r="D62" s="414"/>
      <c r="E62" s="414"/>
      <c r="F62" s="414"/>
      <c r="G62" s="414"/>
      <c r="H62" s="414"/>
      <c r="I62" s="414"/>
      <c r="J62" s="415"/>
      <c r="K62" s="281"/>
      <c r="L62" s="422"/>
      <c r="M62" s="422"/>
      <c r="N62" s="422"/>
      <c r="O62" s="422"/>
      <c r="P62" s="422"/>
      <c r="Q62" s="422"/>
      <c r="R62" s="422"/>
      <c r="S62" s="422"/>
      <c r="T62" s="422"/>
      <c r="U62" s="422"/>
      <c r="V62" s="422"/>
      <c r="W62" s="422"/>
      <c r="X62" s="422">
        <f>SUM(tab_budget[[#This Row],[Poznámky]:[PSP12]])</f>
        <v>0</v>
      </c>
      <c r="Y62" s="422">
        <f>SUMIF(tab_invoices['#],tab_budget[[#This Row],['#]],tab_invoices[Nárokovaná suma])-SUMIF(tab_invoices['#],tab_budget[[#This Row],['#]],tab_invoices[Neoprávnené výdavky])</f>
        <v>0</v>
      </c>
      <c r="Z62" s="422">
        <f>tab_budget[[#This Row],[Medzisúčet]]+tab_budget[[#This Row],[Aktuálna PSP]]</f>
        <v>0</v>
      </c>
      <c r="AA62" s="423">
        <f>IF(tab_budget[[#This Row],[Celková suma]]&gt;0,ROUND(tab_budget[[#This Row],[Čerpanie]]/tab_budget[[#This Row],[Celková suma]],2),0)</f>
        <v>0</v>
      </c>
      <c r="AB62" s="424">
        <f>tab_budget[[#This Row],[Celková suma]]-tab_budget[[#This Row],[Čerpanie]]</f>
        <v>0</v>
      </c>
      <c r="AC62" s="32"/>
    </row>
    <row r="63" spans="1:29" ht="30" customHeight="1" x14ac:dyDescent="0.25">
      <c r="A63" s="413"/>
      <c r="B63" s="414"/>
      <c r="C63" s="414"/>
      <c r="D63" s="414"/>
      <c r="E63" s="414"/>
      <c r="F63" s="414"/>
      <c r="G63" s="414"/>
      <c r="H63" s="414"/>
      <c r="I63" s="414"/>
      <c r="J63" s="415"/>
      <c r="K63" s="281"/>
      <c r="L63" s="422"/>
      <c r="M63" s="422"/>
      <c r="N63" s="422"/>
      <c r="O63" s="422"/>
      <c r="P63" s="422"/>
      <c r="Q63" s="422"/>
      <c r="R63" s="422"/>
      <c r="S63" s="422"/>
      <c r="T63" s="422"/>
      <c r="U63" s="422"/>
      <c r="V63" s="422"/>
      <c r="W63" s="422"/>
      <c r="X63" s="422">
        <f>SUM(tab_budget[[#This Row],[Poznámky]:[PSP12]])</f>
        <v>0</v>
      </c>
      <c r="Y63" s="422">
        <f>SUMIF(tab_invoices['#],tab_budget[[#This Row],['#]],tab_invoices[Nárokovaná suma])-SUMIF(tab_invoices['#],tab_budget[[#This Row],['#]],tab_invoices[Neoprávnené výdavky])</f>
        <v>0</v>
      </c>
      <c r="Z63" s="422">
        <f>tab_budget[[#This Row],[Medzisúčet]]+tab_budget[[#This Row],[Aktuálna PSP]]</f>
        <v>0</v>
      </c>
      <c r="AA63" s="423">
        <f>IF(tab_budget[[#This Row],[Celková suma]]&gt;0,ROUND(tab_budget[[#This Row],[Čerpanie]]/tab_budget[[#This Row],[Celková suma]],2),0)</f>
        <v>0</v>
      </c>
      <c r="AB63" s="424">
        <f>tab_budget[[#This Row],[Celková suma]]-tab_budget[[#This Row],[Čerpanie]]</f>
        <v>0</v>
      </c>
      <c r="AC63" s="32"/>
    </row>
    <row r="64" spans="1:29" ht="30" customHeight="1" x14ac:dyDescent="0.25">
      <c r="A64" s="413"/>
      <c r="B64" s="414"/>
      <c r="C64" s="414"/>
      <c r="D64" s="414"/>
      <c r="E64" s="414"/>
      <c r="F64" s="414"/>
      <c r="G64" s="414"/>
      <c r="H64" s="414"/>
      <c r="I64" s="414"/>
      <c r="J64" s="415"/>
      <c r="K64" s="281"/>
      <c r="L64" s="422"/>
      <c r="M64" s="422"/>
      <c r="N64" s="422"/>
      <c r="O64" s="422"/>
      <c r="P64" s="422"/>
      <c r="Q64" s="422"/>
      <c r="R64" s="422"/>
      <c r="S64" s="422"/>
      <c r="T64" s="422"/>
      <c r="U64" s="422"/>
      <c r="V64" s="422"/>
      <c r="W64" s="422"/>
      <c r="X64" s="422">
        <f>SUM(tab_budget[[#This Row],[Poznámky]:[PSP12]])</f>
        <v>0</v>
      </c>
      <c r="Y64" s="422">
        <f>SUMIF(tab_invoices['#],tab_budget[[#This Row],['#]],tab_invoices[Nárokovaná suma])-SUMIF(tab_invoices['#],tab_budget[[#This Row],['#]],tab_invoices[Neoprávnené výdavky])</f>
        <v>0</v>
      </c>
      <c r="Z64" s="422">
        <f>tab_budget[[#This Row],[Medzisúčet]]+tab_budget[[#This Row],[Aktuálna PSP]]</f>
        <v>0</v>
      </c>
      <c r="AA64" s="423">
        <f>IF(tab_budget[[#This Row],[Celková suma]]&gt;0,ROUND(tab_budget[[#This Row],[Čerpanie]]/tab_budget[[#This Row],[Celková suma]],2),0)</f>
        <v>0</v>
      </c>
      <c r="AB64" s="424">
        <f>tab_budget[[#This Row],[Celková suma]]-tab_budget[[#This Row],[Čerpanie]]</f>
        <v>0</v>
      </c>
      <c r="AC64" s="32"/>
    </row>
    <row r="65" spans="1:29" ht="30" customHeight="1" x14ac:dyDescent="0.25">
      <c r="A65" s="413"/>
      <c r="B65" s="414"/>
      <c r="C65" s="414"/>
      <c r="D65" s="414"/>
      <c r="E65" s="414"/>
      <c r="F65" s="414"/>
      <c r="G65" s="414"/>
      <c r="H65" s="414"/>
      <c r="I65" s="414"/>
      <c r="J65" s="415"/>
      <c r="K65" s="281"/>
      <c r="L65" s="422"/>
      <c r="M65" s="422"/>
      <c r="N65" s="422"/>
      <c r="O65" s="422"/>
      <c r="P65" s="422"/>
      <c r="Q65" s="422"/>
      <c r="R65" s="422"/>
      <c r="S65" s="422"/>
      <c r="T65" s="422"/>
      <c r="U65" s="422"/>
      <c r="V65" s="422"/>
      <c r="W65" s="422"/>
      <c r="X65" s="422">
        <f>SUM(tab_budget[[#This Row],[Poznámky]:[PSP12]])</f>
        <v>0</v>
      </c>
      <c r="Y65" s="422">
        <f>SUMIF(tab_invoices['#],tab_budget[[#This Row],['#]],tab_invoices[Nárokovaná suma])-SUMIF(tab_invoices['#],tab_budget[[#This Row],['#]],tab_invoices[Neoprávnené výdavky])</f>
        <v>0</v>
      </c>
      <c r="Z65" s="422">
        <f>tab_budget[[#This Row],[Medzisúčet]]+tab_budget[[#This Row],[Aktuálna PSP]]</f>
        <v>0</v>
      </c>
      <c r="AA65" s="423">
        <f>IF(tab_budget[[#This Row],[Celková suma]]&gt;0,ROUND(tab_budget[[#This Row],[Čerpanie]]/tab_budget[[#This Row],[Celková suma]],2),0)</f>
        <v>0</v>
      </c>
      <c r="AB65" s="424">
        <f>tab_budget[[#This Row],[Celková suma]]-tab_budget[[#This Row],[Čerpanie]]</f>
        <v>0</v>
      </c>
      <c r="AC65" s="32"/>
    </row>
    <row r="66" spans="1:29" ht="30" customHeight="1" x14ac:dyDescent="0.25">
      <c r="A66" s="413"/>
      <c r="B66" s="414"/>
      <c r="C66" s="414"/>
      <c r="D66" s="414"/>
      <c r="E66" s="414"/>
      <c r="F66" s="414"/>
      <c r="G66" s="414"/>
      <c r="H66" s="414"/>
      <c r="I66" s="414"/>
      <c r="J66" s="415"/>
      <c r="K66" s="281"/>
      <c r="L66" s="422"/>
      <c r="M66" s="422"/>
      <c r="N66" s="422"/>
      <c r="O66" s="422"/>
      <c r="P66" s="422"/>
      <c r="Q66" s="422"/>
      <c r="R66" s="422"/>
      <c r="S66" s="422"/>
      <c r="T66" s="422"/>
      <c r="U66" s="422"/>
      <c r="V66" s="422"/>
      <c r="W66" s="422"/>
      <c r="X66" s="422">
        <f>SUM(tab_budget[[#This Row],[Poznámky]:[PSP12]])</f>
        <v>0</v>
      </c>
      <c r="Y66" s="422">
        <f>SUMIF(tab_invoices['#],tab_budget[[#This Row],['#]],tab_invoices[Nárokovaná suma])-SUMIF(tab_invoices['#],tab_budget[[#This Row],['#]],tab_invoices[Neoprávnené výdavky])</f>
        <v>0</v>
      </c>
      <c r="Z66" s="422">
        <f>tab_budget[[#This Row],[Medzisúčet]]+tab_budget[[#This Row],[Aktuálna PSP]]</f>
        <v>0</v>
      </c>
      <c r="AA66" s="423">
        <f>IF(tab_budget[[#This Row],[Celková suma]]&gt;0,ROUND(tab_budget[[#This Row],[Čerpanie]]/tab_budget[[#This Row],[Celková suma]],2),0)</f>
        <v>0</v>
      </c>
      <c r="AB66" s="424">
        <f>tab_budget[[#This Row],[Celková suma]]-tab_budget[[#This Row],[Čerpanie]]</f>
        <v>0</v>
      </c>
      <c r="AC66" s="32"/>
    </row>
    <row r="67" spans="1:29" ht="30" customHeight="1" x14ac:dyDescent="0.25">
      <c r="A67" s="413"/>
      <c r="B67" s="414"/>
      <c r="C67" s="414"/>
      <c r="D67" s="414"/>
      <c r="E67" s="414"/>
      <c r="F67" s="414"/>
      <c r="G67" s="414"/>
      <c r="H67" s="414"/>
      <c r="I67" s="414"/>
      <c r="J67" s="415"/>
      <c r="K67" s="281"/>
      <c r="L67" s="422"/>
      <c r="M67" s="422"/>
      <c r="N67" s="422"/>
      <c r="O67" s="422"/>
      <c r="P67" s="422"/>
      <c r="Q67" s="422"/>
      <c r="R67" s="422"/>
      <c r="S67" s="422"/>
      <c r="T67" s="422"/>
      <c r="U67" s="422"/>
      <c r="V67" s="422"/>
      <c r="W67" s="422"/>
      <c r="X67" s="422">
        <f>SUM(tab_budget[[#This Row],[Poznámky]:[PSP12]])</f>
        <v>0</v>
      </c>
      <c r="Y67" s="422">
        <f>SUMIF(tab_invoices['#],tab_budget[[#This Row],['#]],tab_invoices[Nárokovaná suma])-SUMIF(tab_invoices['#],tab_budget[[#This Row],['#]],tab_invoices[Neoprávnené výdavky])</f>
        <v>0</v>
      </c>
      <c r="Z67" s="422">
        <f>tab_budget[[#This Row],[Medzisúčet]]+tab_budget[[#This Row],[Aktuálna PSP]]</f>
        <v>0</v>
      </c>
      <c r="AA67" s="423">
        <f>IF(tab_budget[[#This Row],[Celková suma]]&gt;0,ROUND(tab_budget[[#This Row],[Čerpanie]]/tab_budget[[#This Row],[Celková suma]],2),0)</f>
        <v>0</v>
      </c>
      <c r="AB67" s="424">
        <f>tab_budget[[#This Row],[Celková suma]]-tab_budget[[#This Row],[Čerpanie]]</f>
        <v>0</v>
      </c>
      <c r="AC67" s="32"/>
    </row>
    <row r="68" spans="1:29" ht="30" customHeight="1" x14ac:dyDescent="0.25">
      <c r="A68" s="413"/>
      <c r="B68" s="414"/>
      <c r="C68" s="414"/>
      <c r="D68" s="414"/>
      <c r="E68" s="414"/>
      <c r="F68" s="414"/>
      <c r="G68" s="414"/>
      <c r="H68" s="414"/>
      <c r="I68" s="414"/>
      <c r="J68" s="415"/>
      <c r="K68" s="281"/>
      <c r="L68" s="422"/>
      <c r="M68" s="422"/>
      <c r="N68" s="422"/>
      <c r="O68" s="422"/>
      <c r="P68" s="422"/>
      <c r="Q68" s="422"/>
      <c r="R68" s="422"/>
      <c r="S68" s="422"/>
      <c r="T68" s="422"/>
      <c r="U68" s="422"/>
      <c r="V68" s="422"/>
      <c r="W68" s="422"/>
      <c r="X68" s="422">
        <f>SUM(tab_budget[[#This Row],[Poznámky]:[PSP12]])</f>
        <v>0</v>
      </c>
      <c r="Y68" s="422">
        <f>SUMIF(tab_invoices['#],tab_budget[[#This Row],['#]],tab_invoices[Nárokovaná suma])-SUMIF(tab_invoices['#],tab_budget[[#This Row],['#]],tab_invoices[Neoprávnené výdavky])</f>
        <v>0</v>
      </c>
      <c r="Z68" s="422">
        <f>tab_budget[[#This Row],[Medzisúčet]]+tab_budget[[#This Row],[Aktuálna PSP]]</f>
        <v>0</v>
      </c>
      <c r="AA68" s="423">
        <f>IF(tab_budget[[#This Row],[Celková suma]]&gt;0,ROUND(tab_budget[[#This Row],[Čerpanie]]/tab_budget[[#This Row],[Celková suma]],2),0)</f>
        <v>0</v>
      </c>
      <c r="AB68" s="424">
        <f>tab_budget[[#This Row],[Celková suma]]-tab_budget[[#This Row],[Čerpanie]]</f>
        <v>0</v>
      </c>
      <c r="AC68" s="32"/>
    </row>
    <row r="69" spans="1:29" ht="30" customHeight="1" x14ac:dyDescent="0.25">
      <c r="A69" s="413"/>
      <c r="B69" s="414"/>
      <c r="C69" s="414"/>
      <c r="D69" s="414"/>
      <c r="E69" s="414"/>
      <c r="F69" s="414"/>
      <c r="G69" s="414"/>
      <c r="H69" s="414"/>
      <c r="I69" s="414"/>
      <c r="J69" s="415"/>
      <c r="K69" s="281"/>
      <c r="L69" s="422"/>
      <c r="M69" s="422"/>
      <c r="N69" s="422"/>
      <c r="O69" s="422"/>
      <c r="P69" s="422"/>
      <c r="Q69" s="422"/>
      <c r="R69" s="422"/>
      <c r="S69" s="422"/>
      <c r="T69" s="422"/>
      <c r="U69" s="422"/>
      <c r="V69" s="422"/>
      <c r="W69" s="422"/>
      <c r="X69" s="422">
        <f>SUM(tab_budget[[#This Row],[Poznámky]:[PSP12]])</f>
        <v>0</v>
      </c>
      <c r="Y69" s="422">
        <f>SUMIF(tab_invoices['#],tab_budget[[#This Row],['#]],tab_invoices[Nárokovaná suma])-SUMIF(tab_invoices['#],tab_budget[[#This Row],['#]],tab_invoices[Neoprávnené výdavky])</f>
        <v>0</v>
      </c>
      <c r="Z69" s="422">
        <f>tab_budget[[#This Row],[Medzisúčet]]+tab_budget[[#This Row],[Aktuálna PSP]]</f>
        <v>0</v>
      </c>
      <c r="AA69" s="423">
        <f>IF(tab_budget[[#This Row],[Celková suma]]&gt;0,ROUND(tab_budget[[#This Row],[Čerpanie]]/tab_budget[[#This Row],[Celková suma]],2),0)</f>
        <v>0</v>
      </c>
      <c r="AB69" s="424">
        <f>tab_budget[[#This Row],[Celková suma]]-tab_budget[[#This Row],[Čerpanie]]</f>
        <v>0</v>
      </c>
      <c r="AC69" s="32"/>
    </row>
    <row r="70" spans="1:29" ht="30" customHeight="1" x14ac:dyDescent="0.25">
      <c r="A70" s="413"/>
      <c r="B70" s="414"/>
      <c r="C70" s="414"/>
      <c r="D70" s="414"/>
      <c r="E70" s="414"/>
      <c r="F70" s="414"/>
      <c r="G70" s="414"/>
      <c r="H70" s="414"/>
      <c r="I70" s="414"/>
      <c r="J70" s="415"/>
      <c r="K70" s="281"/>
      <c r="L70" s="422"/>
      <c r="M70" s="422"/>
      <c r="N70" s="422"/>
      <c r="O70" s="422"/>
      <c r="P70" s="422"/>
      <c r="Q70" s="422"/>
      <c r="R70" s="422"/>
      <c r="S70" s="422"/>
      <c r="T70" s="422"/>
      <c r="U70" s="422"/>
      <c r="V70" s="422"/>
      <c r="W70" s="422"/>
      <c r="X70" s="422">
        <f>SUM(tab_budget[[#This Row],[Poznámky]:[PSP12]])</f>
        <v>0</v>
      </c>
      <c r="Y70" s="422">
        <f>SUMIF(tab_invoices['#],tab_budget[[#This Row],['#]],tab_invoices[Nárokovaná suma])-SUMIF(tab_invoices['#],tab_budget[[#This Row],['#]],tab_invoices[Neoprávnené výdavky])</f>
        <v>0</v>
      </c>
      <c r="Z70" s="422">
        <f>tab_budget[[#This Row],[Medzisúčet]]+tab_budget[[#This Row],[Aktuálna PSP]]</f>
        <v>0</v>
      </c>
      <c r="AA70" s="423">
        <f>IF(tab_budget[[#This Row],[Celková suma]]&gt;0,ROUND(tab_budget[[#This Row],[Čerpanie]]/tab_budget[[#This Row],[Celková suma]],2),0)</f>
        <v>0</v>
      </c>
      <c r="AB70" s="424">
        <f>tab_budget[[#This Row],[Celková suma]]-tab_budget[[#This Row],[Čerpanie]]</f>
        <v>0</v>
      </c>
      <c r="AC70" s="32"/>
    </row>
    <row r="71" spans="1:29" ht="30" customHeight="1" x14ac:dyDescent="0.25">
      <c r="A71" s="413"/>
      <c r="B71" s="414"/>
      <c r="C71" s="414"/>
      <c r="D71" s="414"/>
      <c r="E71" s="414"/>
      <c r="F71" s="414"/>
      <c r="G71" s="414"/>
      <c r="H71" s="414"/>
      <c r="I71" s="414"/>
      <c r="J71" s="415"/>
      <c r="K71" s="281"/>
      <c r="L71" s="422"/>
      <c r="M71" s="422"/>
      <c r="N71" s="422"/>
      <c r="O71" s="422"/>
      <c r="P71" s="422"/>
      <c r="Q71" s="422"/>
      <c r="R71" s="422"/>
      <c r="S71" s="422"/>
      <c r="T71" s="422"/>
      <c r="U71" s="422"/>
      <c r="V71" s="422"/>
      <c r="W71" s="422"/>
      <c r="X71" s="422">
        <f>SUM(tab_budget[[#This Row],[Poznámky]:[PSP12]])</f>
        <v>0</v>
      </c>
      <c r="Y71" s="422">
        <f>SUMIF(tab_invoices['#],tab_budget[[#This Row],['#]],tab_invoices[Nárokovaná suma])-SUMIF(tab_invoices['#],tab_budget[[#This Row],['#]],tab_invoices[Neoprávnené výdavky])</f>
        <v>0</v>
      </c>
      <c r="Z71" s="422">
        <f>tab_budget[[#This Row],[Medzisúčet]]+tab_budget[[#This Row],[Aktuálna PSP]]</f>
        <v>0</v>
      </c>
      <c r="AA71" s="423">
        <f>IF(tab_budget[[#This Row],[Celková suma]]&gt;0,ROUND(tab_budget[[#This Row],[Čerpanie]]/tab_budget[[#This Row],[Celková suma]],2),0)</f>
        <v>0</v>
      </c>
      <c r="AB71" s="424">
        <f>tab_budget[[#This Row],[Celková suma]]-tab_budget[[#This Row],[Čerpanie]]</f>
        <v>0</v>
      </c>
      <c r="AC71" s="32"/>
    </row>
    <row r="72" spans="1:29" ht="30" customHeight="1" x14ac:dyDescent="0.25">
      <c r="A72" s="413"/>
      <c r="B72" s="414"/>
      <c r="C72" s="414"/>
      <c r="D72" s="414"/>
      <c r="E72" s="414"/>
      <c r="F72" s="414"/>
      <c r="G72" s="414"/>
      <c r="H72" s="414"/>
      <c r="I72" s="414"/>
      <c r="J72" s="415"/>
      <c r="K72" s="281"/>
      <c r="L72" s="422"/>
      <c r="M72" s="422"/>
      <c r="N72" s="422"/>
      <c r="O72" s="422"/>
      <c r="P72" s="422"/>
      <c r="Q72" s="422"/>
      <c r="R72" s="422"/>
      <c r="S72" s="422"/>
      <c r="T72" s="422"/>
      <c r="U72" s="422"/>
      <c r="V72" s="422"/>
      <c r="W72" s="422"/>
      <c r="X72" s="422">
        <f>SUM(tab_budget[[#This Row],[Poznámky]:[PSP12]])</f>
        <v>0</v>
      </c>
      <c r="Y72" s="422">
        <f>SUMIF(tab_invoices['#],tab_budget[[#This Row],['#]],tab_invoices[Nárokovaná suma])-SUMIF(tab_invoices['#],tab_budget[[#This Row],['#]],tab_invoices[Neoprávnené výdavky])</f>
        <v>0</v>
      </c>
      <c r="Z72" s="422">
        <f>tab_budget[[#This Row],[Medzisúčet]]+tab_budget[[#This Row],[Aktuálna PSP]]</f>
        <v>0</v>
      </c>
      <c r="AA72" s="423">
        <f>IF(tab_budget[[#This Row],[Celková suma]]&gt;0,ROUND(tab_budget[[#This Row],[Čerpanie]]/tab_budget[[#This Row],[Celková suma]],2),0)</f>
        <v>0</v>
      </c>
      <c r="AB72" s="424">
        <f>tab_budget[[#This Row],[Celková suma]]-tab_budget[[#This Row],[Čerpanie]]</f>
        <v>0</v>
      </c>
      <c r="AC72" s="32"/>
    </row>
    <row r="73" spans="1:29" ht="30" customHeight="1" x14ac:dyDescent="0.25">
      <c r="A73" s="413"/>
      <c r="B73" s="414"/>
      <c r="C73" s="414"/>
      <c r="D73" s="414"/>
      <c r="E73" s="414"/>
      <c r="F73" s="414"/>
      <c r="G73" s="414"/>
      <c r="H73" s="414"/>
      <c r="I73" s="414"/>
      <c r="J73" s="415"/>
      <c r="K73" s="281"/>
      <c r="L73" s="422"/>
      <c r="M73" s="422"/>
      <c r="N73" s="422"/>
      <c r="O73" s="422"/>
      <c r="P73" s="422"/>
      <c r="Q73" s="422"/>
      <c r="R73" s="422"/>
      <c r="S73" s="422"/>
      <c r="T73" s="422"/>
      <c r="U73" s="422"/>
      <c r="V73" s="422"/>
      <c r="W73" s="422"/>
      <c r="X73" s="422">
        <f>SUM(tab_budget[[#This Row],[Poznámky]:[PSP12]])</f>
        <v>0</v>
      </c>
      <c r="Y73" s="422">
        <f>SUMIF(tab_invoices['#],tab_budget[[#This Row],['#]],tab_invoices[Nárokovaná suma])-SUMIF(tab_invoices['#],tab_budget[[#This Row],['#]],tab_invoices[Neoprávnené výdavky])</f>
        <v>0</v>
      </c>
      <c r="Z73" s="422">
        <f>tab_budget[[#This Row],[Medzisúčet]]+tab_budget[[#This Row],[Aktuálna PSP]]</f>
        <v>0</v>
      </c>
      <c r="AA73" s="423">
        <f>IF(tab_budget[[#This Row],[Celková suma]]&gt;0,ROUND(tab_budget[[#This Row],[Čerpanie]]/tab_budget[[#This Row],[Celková suma]],2),0)</f>
        <v>0</v>
      </c>
      <c r="AB73" s="424">
        <f>tab_budget[[#This Row],[Celková suma]]-tab_budget[[#This Row],[Čerpanie]]</f>
        <v>0</v>
      </c>
      <c r="AC73" s="32"/>
    </row>
    <row r="74" spans="1:29" ht="30" customHeight="1" x14ac:dyDescent="0.25">
      <c r="A74" s="413"/>
      <c r="B74" s="414"/>
      <c r="C74" s="414"/>
      <c r="D74" s="414"/>
      <c r="E74" s="414"/>
      <c r="F74" s="414"/>
      <c r="G74" s="414"/>
      <c r="H74" s="414"/>
      <c r="I74" s="414"/>
      <c r="J74" s="415"/>
      <c r="K74" s="281"/>
      <c r="L74" s="422"/>
      <c r="M74" s="422"/>
      <c r="N74" s="422"/>
      <c r="O74" s="422"/>
      <c r="P74" s="422"/>
      <c r="Q74" s="422"/>
      <c r="R74" s="422"/>
      <c r="S74" s="422"/>
      <c r="T74" s="422"/>
      <c r="U74" s="422"/>
      <c r="V74" s="422"/>
      <c r="W74" s="422"/>
      <c r="X74" s="422">
        <f>SUM(tab_budget[[#This Row],[Poznámky]:[PSP12]])</f>
        <v>0</v>
      </c>
      <c r="Y74" s="422">
        <f>SUMIF(tab_invoices['#],tab_budget[[#This Row],['#]],tab_invoices[Nárokovaná suma])-SUMIF(tab_invoices['#],tab_budget[[#This Row],['#]],tab_invoices[Neoprávnené výdavky])</f>
        <v>0</v>
      </c>
      <c r="Z74" s="422">
        <f>tab_budget[[#This Row],[Medzisúčet]]+tab_budget[[#This Row],[Aktuálna PSP]]</f>
        <v>0</v>
      </c>
      <c r="AA74" s="423">
        <f>IF(tab_budget[[#This Row],[Celková suma]]&gt;0,ROUND(tab_budget[[#This Row],[Čerpanie]]/tab_budget[[#This Row],[Celková suma]],2),0)</f>
        <v>0</v>
      </c>
      <c r="AB74" s="424">
        <f>tab_budget[[#This Row],[Celková suma]]-tab_budget[[#This Row],[Čerpanie]]</f>
        <v>0</v>
      </c>
      <c r="AC74" s="32"/>
    </row>
    <row r="75" spans="1:29" ht="30" customHeight="1" x14ac:dyDescent="0.25">
      <c r="A75" s="413"/>
      <c r="B75" s="414"/>
      <c r="C75" s="414"/>
      <c r="D75" s="414"/>
      <c r="E75" s="414"/>
      <c r="F75" s="414"/>
      <c r="G75" s="414"/>
      <c r="H75" s="414"/>
      <c r="I75" s="414"/>
      <c r="J75" s="415"/>
      <c r="K75" s="281"/>
      <c r="L75" s="422"/>
      <c r="M75" s="422"/>
      <c r="N75" s="422"/>
      <c r="O75" s="422"/>
      <c r="P75" s="422"/>
      <c r="Q75" s="422"/>
      <c r="R75" s="422"/>
      <c r="S75" s="422"/>
      <c r="T75" s="422"/>
      <c r="U75" s="422"/>
      <c r="V75" s="422"/>
      <c r="W75" s="422"/>
      <c r="X75" s="422">
        <f>SUM(tab_budget[[#This Row],[Poznámky]:[PSP12]])</f>
        <v>0</v>
      </c>
      <c r="Y75" s="422">
        <f>SUMIF(tab_invoices['#],tab_budget[[#This Row],['#]],tab_invoices[Nárokovaná suma])-SUMIF(tab_invoices['#],tab_budget[[#This Row],['#]],tab_invoices[Neoprávnené výdavky])</f>
        <v>0</v>
      </c>
      <c r="Z75" s="422">
        <f>tab_budget[[#This Row],[Medzisúčet]]+tab_budget[[#This Row],[Aktuálna PSP]]</f>
        <v>0</v>
      </c>
      <c r="AA75" s="423">
        <f>IF(tab_budget[[#This Row],[Celková suma]]&gt;0,ROUND(tab_budget[[#This Row],[Čerpanie]]/tab_budget[[#This Row],[Celková suma]],2),0)</f>
        <v>0</v>
      </c>
      <c r="AB75" s="424">
        <f>tab_budget[[#This Row],[Celková suma]]-tab_budget[[#This Row],[Čerpanie]]</f>
        <v>0</v>
      </c>
      <c r="AC75" s="32"/>
    </row>
    <row r="76" spans="1:29" ht="30" customHeight="1" x14ac:dyDescent="0.25">
      <c r="A76" s="413"/>
      <c r="B76" s="414"/>
      <c r="C76" s="414"/>
      <c r="D76" s="414"/>
      <c r="E76" s="414"/>
      <c r="F76" s="414"/>
      <c r="G76" s="414"/>
      <c r="H76" s="414"/>
      <c r="I76" s="414"/>
      <c r="J76" s="415"/>
      <c r="K76" s="281"/>
      <c r="L76" s="422"/>
      <c r="M76" s="422"/>
      <c r="N76" s="422"/>
      <c r="O76" s="422"/>
      <c r="P76" s="422"/>
      <c r="Q76" s="422"/>
      <c r="R76" s="422"/>
      <c r="S76" s="422"/>
      <c r="T76" s="422"/>
      <c r="U76" s="422"/>
      <c r="V76" s="422"/>
      <c r="W76" s="422"/>
      <c r="X76" s="422">
        <f>SUM(tab_budget[[#This Row],[Poznámky]:[PSP12]])</f>
        <v>0</v>
      </c>
      <c r="Y76" s="422">
        <f>SUMIF(tab_invoices['#],tab_budget[[#This Row],['#]],tab_invoices[Nárokovaná suma])-SUMIF(tab_invoices['#],tab_budget[[#This Row],['#]],tab_invoices[Neoprávnené výdavky])</f>
        <v>0</v>
      </c>
      <c r="Z76" s="422">
        <f>tab_budget[[#This Row],[Medzisúčet]]+tab_budget[[#This Row],[Aktuálna PSP]]</f>
        <v>0</v>
      </c>
      <c r="AA76" s="423">
        <f>IF(tab_budget[[#This Row],[Celková suma]]&gt;0,ROUND(tab_budget[[#This Row],[Čerpanie]]/tab_budget[[#This Row],[Celková suma]],2),0)</f>
        <v>0</v>
      </c>
      <c r="AB76" s="424">
        <f>tab_budget[[#This Row],[Celková suma]]-tab_budget[[#This Row],[Čerpanie]]</f>
        <v>0</v>
      </c>
      <c r="AC76" s="32"/>
    </row>
    <row r="77" spans="1:29" ht="30" customHeight="1" x14ac:dyDescent="0.25">
      <c r="A77" s="413"/>
      <c r="B77" s="414"/>
      <c r="C77" s="414"/>
      <c r="D77" s="414"/>
      <c r="E77" s="414"/>
      <c r="F77" s="414"/>
      <c r="G77" s="414"/>
      <c r="H77" s="414"/>
      <c r="I77" s="414"/>
      <c r="J77" s="415"/>
      <c r="K77" s="281"/>
      <c r="L77" s="422"/>
      <c r="M77" s="422"/>
      <c r="N77" s="422"/>
      <c r="O77" s="422"/>
      <c r="P77" s="422"/>
      <c r="Q77" s="422"/>
      <c r="R77" s="422"/>
      <c r="S77" s="422"/>
      <c r="T77" s="422"/>
      <c r="U77" s="422"/>
      <c r="V77" s="422"/>
      <c r="W77" s="422"/>
      <c r="X77" s="422">
        <f>SUM(tab_budget[[#This Row],[Poznámky]:[PSP12]])</f>
        <v>0</v>
      </c>
      <c r="Y77" s="422">
        <f>SUMIF(tab_invoices['#],tab_budget[[#This Row],['#]],tab_invoices[Nárokovaná suma])-SUMIF(tab_invoices['#],tab_budget[[#This Row],['#]],tab_invoices[Neoprávnené výdavky])</f>
        <v>0</v>
      </c>
      <c r="Z77" s="422">
        <f>tab_budget[[#This Row],[Medzisúčet]]+tab_budget[[#This Row],[Aktuálna PSP]]</f>
        <v>0</v>
      </c>
      <c r="AA77" s="423">
        <f>IF(tab_budget[[#This Row],[Celková suma]]&gt;0,ROUND(tab_budget[[#This Row],[Čerpanie]]/tab_budget[[#This Row],[Celková suma]],2),0)</f>
        <v>0</v>
      </c>
      <c r="AB77" s="424">
        <f>tab_budget[[#This Row],[Celková suma]]-tab_budget[[#This Row],[Čerpanie]]</f>
        <v>0</v>
      </c>
      <c r="AC77" s="32"/>
    </row>
    <row r="78" spans="1:29" ht="30" customHeight="1" x14ac:dyDescent="0.25">
      <c r="A78" s="413"/>
      <c r="B78" s="414"/>
      <c r="C78" s="414"/>
      <c r="D78" s="414"/>
      <c r="E78" s="414"/>
      <c r="F78" s="414"/>
      <c r="G78" s="414"/>
      <c r="H78" s="414"/>
      <c r="I78" s="414"/>
      <c r="J78" s="415"/>
      <c r="K78" s="281"/>
      <c r="L78" s="422"/>
      <c r="M78" s="422"/>
      <c r="N78" s="422"/>
      <c r="O78" s="422"/>
      <c r="P78" s="422"/>
      <c r="Q78" s="422"/>
      <c r="R78" s="422"/>
      <c r="S78" s="422"/>
      <c r="T78" s="422"/>
      <c r="U78" s="422"/>
      <c r="V78" s="422"/>
      <c r="W78" s="422"/>
      <c r="X78" s="422">
        <f>SUM(tab_budget[[#This Row],[Poznámky]:[PSP12]])</f>
        <v>0</v>
      </c>
      <c r="Y78" s="422">
        <f>SUMIF(tab_invoices['#],tab_budget[[#This Row],['#]],tab_invoices[Nárokovaná suma])-SUMIF(tab_invoices['#],tab_budget[[#This Row],['#]],tab_invoices[Neoprávnené výdavky])</f>
        <v>0</v>
      </c>
      <c r="Z78" s="422">
        <f>tab_budget[[#This Row],[Medzisúčet]]+tab_budget[[#This Row],[Aktuálna PSP]]</f>
        <v>0</v>
      </c>
      <c r="AA78" s="423">
        <f>IF(tab_budget[[#This Row],[Celková suma]]&gt;0,ROUND(tab_budget[[#This Row],[Čerpanie]]/tab_budget[[#This Row],[Celková suma]],2),0)</f>
        <v>0</v>
      </c>
      <c r="AB78" s="424">
        <f>tab_budget[[#This Row],[Celková suma]]-tab_budget[[#This Row],[Čerpanie]]</f>
        <v>0</v>
      </c>
      <c r="AC78" s="32"/>
    </row>
    <row r="79" spans="1:29" ht="30" customHeight="1" x14ac:dyDescent="0.25">
      <c r="A79" s="413"/>
      <c r="B79" s="414"/>
      <c r="C79" s="414"/>
      <c r="D79" s="414"/>
      <c r="E79" s="414"/>
      <c r="F79" s="414"/>
      <c r="G79" s="414"/>
      <c r="H79" s="414"/>
      <c r="I79" s="414"/>
      <c r="J79" s="415"/>
      <c r="K79" s="281"/>
      <c r="L79" s="422"/>
      <c r="M79" s="422"/>
      <c r="N79" s="422"/>
      <c r="O79" s="422"/>
      <c r="P79" s="422"/>
      <c r="Q79" s="422"/>
      <c r="R79" s="422"/>
      <c r="S79" s="422"/>
      <c r="T79" s="422"/>
      <c r="U79" s="422"/>
      <c r="V79" s="422"/>
      <c r="W79" s="422"/>
      <c r="X79" s="422">
        <f>SUM(tab_budget[[#This Row],[Poznámky]:[PSP12]])</f>
        <v>0</v>
      </c>
      <c r="Y79" s="422">
        <f>SUMIF(tab_invoices['#],tab_budget[[#This Row],['#]],tab_invoices[Nárokovaná suma])-SUMIF(tab_invoices['#],tab_budget[[#This Row],['#]],tab_invoices[Neoprávnené výdavky])</f>
        <v>0</v>
      </c>
      <c r="Z79" s="422">
        <f>tab_budget[[#This Row],[Medzisúčet]]+tab_budget[[#This Row],[Aktuálna PSP]]</f>
        <v>0</v>
      </c>
      <c r="AA79" s="423">
        <f>IF(tab_budget[[#This Row],[Celková suma]]&gt;0,ROUND(tab_budget[[#This Row],[Čerpanie]]/tab_budget[[#This Row],[Celková suma]],2),0)</f>
        <v>0</v>
      </c>
      <c r="AB79" s="424">
        <f>tab_budget[[#This Row],[Celková suma]]-tab_budget[[#This Row],[Čerpanie]]</f>
        <v>0</v>
      </c>
      <c r="AC79" s="32"/>
    </row>
    <row r="80" spans="1:29" ht="30" customHeight="1" x14ac:dyDescent="0.25">
      <c r="A80" s="413"/>
      <c r="B80" s="414"/>
      <c r="C80" s="414"/>
      <c r="D80" s="414"/>
      <c r="E80" s="414"/>
      <c r="F80" s="414"/>
      <c r="G80" s="414"/>
      <c r="H80" s="414"/>
      <c r="I80" s="414"/>
      <c r="J80" s="415"/>
      <c r="K80" s="281"/>
      <c r="L80" s="422"/>
      <c r="M80" s="422"/>
      <c r="N80" s="422"/>
      <c r="O80" s="422"/>
      <c r="P80" s="422"/>
      <c r="Q80" s="422"/>
      <c r="R80" s="422"/>
      <c r="S80" s="422"/>
      <c r="T80" s="422"/>
      <c r="U80" s="422"/>
      <c r="V80" s="422"/>
      <c r="W80" s="422"/>
      <c r="X80" s="422">
        <f>SUM(tab_budget[[#This Row],[Poznámky]:[PSP12]])</f>
        <v>0</v>
      </c>
      <c r="Y80" s="422">
        <f>SUMIF(tab_invoices['#],tab_budget[[#This Row],['#]],tab_invoices[Nárokovaná suma])-SUMIF(tab_invoices['#],tab_budget[[#This Row],['#]],tab_invoices[Neoprávnené výdavky])</f>
        <v>0</v>
      </c>
      <c r="Z80" s="422">
        <f>tab_budget[[#This Row],[Medzisúčet]]+tab_budget[[#This Row],[Aktuálna PSP]]</f>
        <v>0</v>
      </c>
      <c r="AA80" s="423">
        <f>IF(tab_budget[[#This Row],[Celková suma]]&gt;0,ROUND(tab_budget[[#This Row],[Čerpanie]]/tab_budget[[#This Row],[Celková suma]],2),0)</f>
        <v>0</v>
      </c>
      <c r="AB80" s="424">
        <f>tab_budget[[#This Row],[Celková suma]]-tab_budget[[#This Row],[Čerpanie]]</f>
        <v>0</v>
      </c>
      <c r="AC80" s="32"/>
    </row>
    <row r="81" spans="1:29" ht="30" customHeight="1" x14ac:dyDescent="0.25">
      <c r="A81" s="413"/>
      <c r="B81" s="414"/>
      <c r="C81" s="414"/>
      <c r="D81" s="414"/>
      <c r="E81" s="414"/>
      <c r="F81" s="414"/>
      <c r="G81" s="414"/>
      <c r="H81" s="414"/>
      <c r="I81" s="414"/>
      <c r="J81" s="415"/>
      <c r="K81" s="281"/>
      <c r="L81" s="422"/>
      <c r="M81" s="422"/>
      <c r="N81" s="422"/>
      <c r="O81" s="422"/>
      <c r="P81" s="422"/>
      <c r="Q81" s="422"/>
      <c r="R81" s="422"/>
      <c r="S81" s="422"/>
      <c r="T81" s="422"/>
      <c r="U81" s="422"/>
      <c r="V81" s="422"/>
      <c r="W81" s="422"/>
      <c r="X81" s="422">
        <f>SUM(tab_budget[[#This Row],[Poznámky]:[PSP12]])</f>
        <v>0</v>
      </c>
      <c r="Y81" s="422">
        <f>SUMIF(tab_invoices['#],tab_budget[[#This Row],['#]],tab_invoices[Nárokovaná suma])-SUMIF(tab_invoices['#],tab_budget[[#This Row],['#]],tab_invoices[Neoprávnené výdavky])</f>
        <v>0</v>
      </c>
      <c r="Z81" s="422">
        <f>tab_budget[[#This Row],[Medzisúčet]]+tab_budget[[#This Row],[Aktuálna PSP]]</f>
        <v>0</v>
      </c>
      <c r="AA81" s="423">
        <f>IF(tab_budget[[#This Row],[Celková suma]]&gt;0,ROUND(tab_budget[[#This Row],[Čerpanie]]/tab_budget[[#This Row],[Celková suma]],2),0)</f>
        <v>0</v>
      </c>
      <c r="AB81" s="424">
        <f>tab_budget[[#This Row],[Celková suma]]-tab_budget[[#This Row],[Čerpanie]]</f>
        <v>0</v>
      </c>
      <c r="AC81" s="32"/>
    </row>
    <row r="82" spans="1:29" ht="30" customHeight="1" x14ac:dyDescent="0.25">
      <c r="A82" s="413"/>
      <c r="B82" s="414"/>
      <c r="C82" s="414"/>
      <c r="D82" s="414"/>
      <c r="E82" s="414"/>
      <c r="F82" s="414"/>
      <c r="G82" s="414"/>
      <c r="H82" s="414"/>
      <c r="I82" s="414"/>
      <c r="J82" s="415"/>
      <c r="K82" s="281"/>
      <c r="L82" s="422"/>
      <c r="M82" s="422"/>
      <c r="N82" s="422"/>
      <c r="O82" s="422"/>
      <c r="P82" s="422"/>
      <c r="Q82" s="422"/>
      <c r="R82" s="422"/>
      <c r="S82" s="422"/>
      <c r="T82" s="422"/>
      <c r="U82" s="422"/>
      <c r="V82" s="422"/>
      <c r="W82" s="422"/>
      <c r="X82" s="422">
        <f>SUM(tab_budget[[#This Row],[Poznámky]:[PSP12]])</f>
        <v>0</v>
      </c>
      <c r="Y82" s="422">
        <f>SUMIF(tab_invoices['#],tab_budget[[#This Row],['#]],tab_invoices[Nárokovaná suma])-SUMIF(tab_invoices['#],tab_budget[[#This Row],['#]],tab_invoices[Neoprávnené výdavky])</f>
        <v>0</v>
      </c>
      <c r="Z82" s="422">
        <f>tab_budget[[#This Row],[Medzisúčet]]+tab_budget[[#This Row],[Aktuálna PSP]]</f>
        <v>0</v>
      </c>
      <c r="AA82" s="423">
        <f>IF(tab_budget[[#This Row],[Celková suma]]&gt;0,ROUND(tab_budget[[#This Row],[Čerpanie]]/tab_budget[[#This Row],[Celková suma]],2),0)</f>
        <v>0</v>
      </c>
      <c r="AB82" s="424">
        <f>tab_budget[[#This Row],[Celková suma]]-tab_budget[[#This Row],[Čerpanie]]</f>
        <v>0</v>
      </c>
      <c r="AC82" s="32"/>
    </row>
    <row r="83" spans="1:29" ht="30" customHeight="1" x14ac:dyDescent="0.25">
      <c r="A83" s="413"/>
      <c r="B83" s="414"/>
      <c r="C83" s="414"/>
      <c r="D83" s="414"/>
      <c r="E83" s="414"/>
      <c r="F83" s="414"/>
      <c r="G83" s="414"/>
      <c r="H83" s="414"/>
      <c r="I83" s="414"/>
      <c r="J83" s="415"/>
      <c r="K83" s="281"/>
      <c r="L83" s="422"/>
      <c r="M83" s="422"/>
      <c r="N83" s="422"/>
      <c r="O83" s="422"/>
      <c r="P83" s="422"/>
      <c r="Q83" s="422"/>
      <c r="R83" s="422"/>
      <c r="S83" s="422"/>
      <c r="T83" s="422"/>
      <c r="U83" s="422"/>
      <c r="V83" s="422"/>
      <c r="W83" s="422"/>
      <c r="X83" s="422">
        <f>SUM(tab_budget[[#This Row],[Poznámky]:[PSP12]])</f>
        <v>0</v>
      </c>
      <c r="Y83" s="422">
        <f>SUMIF(tab_invoices['#],tab_budget[[#This Row],['#]],tab_invoices[Nárokovaná suma])-SUMIF(tab_invoices['#],tab_budget[[#This Row],['#]],tab_invoices[Neoprávnené výdavky])</f>
        <v>0</v>
      </c>
      <c r="Z83" s="422">
        <f>tab_budget[[#This Row],[Medzisúčet]]+tab_budget[[#This Row],[Aktuálna PSP]]</f>
        <v>0</v>
      </c>
      <c r="AA83" s="423">
        <f>IF(tab_budget[[#This Row],[Celková suma]]&gt;0,ROUND(tab_budget[[#This Row],[Čerpanie]]/tab_budget[[#This Row],[Celková suma]],2),0)</f>
        <v>0</v>
      </c>
      <c r="AB83" s="424">
        <f>tab_budget[[#This Row],[Celková suma]]-tab_budget[[#This Row],[Čerpanie]]</f>
        <v>0</v>
      </c>
      <c r="AC83" s="32"/>
    </row>
    <row r="84" spans="1:29" ht="30" customHeight="1" x14ac:dyDescent="0.25">
      <c r="A84" s="413"/>
      <c r="B84" s="414"/>
      <c r="C84" s="414"/>
      <c r="D84" s="414"/>
      <c r="E84" s="414"/>
      <c r="F84" s="414"/>
      <c r="G84" s="414"/>
      <c r="H84" s="414"/>
      <c r="I84" s="414"/>
      <c r="J84" s="415"/>
      <c r="K84" s="281"/>
      <c r="L84" s="422"/>
      <c r="M84" s="422"/>
      <c r="N84" s="422"/>
      <c r="O84" s="422"/>
      <c r="P84" s="422"/>
      <c r="Q84" s="422"/>
      <c r="R84" s="422"/>
      <c r="S84" s="422"/>
      <c r="T84" s="422"/>
      <c r="U84" s="422"/>
      <c r="V84" s="422"/>
      <c r="W84" s="422"/>
      <c r="X84" s="422">
        <f>SUM(tab_budget[[#This Row],[Poznámky]:[PSP12]])</f>
        <v>0</v>
      </c>
      <c r="Y84" s="422">
        <f>SUMIF(tab_invoices['#],tab_budget[[#This Row],['#]],tab_invoices[Nárokovaná suma])-SUMIF(tab_invoices['#],tab_budget[[#This Row],['#]],tab_invoices[Neoprávnené výdavky])</f>
        <v>0</v>
      </c>
      <c r="Z84" s="422">
        <f>tab_budget[[#This Row],[Medzisúčet]]+tab_budget[[#This Row],[Aktuálna PSP]]</f>
        <v>0</v>
      </c>
      <c r="AA84" s="423">
        <f>IF(tab_budget[[#This Row],[Celková suma]]&gt;0,ROUND(tab_budget[[#This Row],[Čerpanie]]/tab_budget[[#This Row],[Celková suma]],2),0)</f>
        <v>0</v>
      </c>
      <c r="AB84" s="424">
        <f>tab_budget[[#This Row],[Celková suma]]-tab_budget[[#This Row],[Čerpanie]]</f>
        <v>0</v>
      </c>
      <c r="AC84" s="32"/>
    </row>
    <row r="85" spans="1:29" ht="30" customHeight="1" x14ac:dyDescent="0.25">
      <c r="A85" s="413"/>
      <c r="B85" s="414"/>
      <c r="C85" s="414"/>
      <c r="D85" s="414"/>
      <c r="E85" s="414"/>
      <c r="F85" s="414"/>
      <c r="G85" s="414"/>
      <c r="H85" s="414"/>
      <c r="I85" s="414"/>
      <c r="J85" s="415"/>
      <c r="K85" s="281"/>
      <c r="L85" s="422"/>
      <c r="M85" s="422"/>
      <c r="N85" s="422"/>
      <c r="O85" s="422"/>
      <c r="P85" s="422"/>
      <c r="Q85" s="422"/>
      <c r="R85" s="422"/>
      <c r="S85" s="422"/>
      <c r="T85" s="422"/>
      <c r="U85" s="422"/>
      <c r="V85" s="422"/>
      <c r="W85" s="422"/>
      <c r="X85" s="422">
        <f>SUM(tab_budget[[#This Row],[Poznámky]:[PSP12]])</f>
        <v>0</v>
      </c>
      <c r="Y85" s="422">
        <f>SUMIF(tab_invoices['#],tab_budget[[#This Row],['#]],tab_invoices[Nárokovaná suma])-SUMIF(tab_invoices['#],tab_budget[[#This Row],['#]],tab_invoices[Neoprávnené výdavky])</f>
        <v>0</v>
      </c>
      <c r="Z85" s="422">
        <f>tab_budget[[#This Row],[Medzisúčet]]+tab_budget[[#This Row],[Aktuálna PSP]]</f>
        <v>0</v>
      </c>
      <c r="AA85" s="423">
        <f>IF(tab_budget[[#This Row],[Celková suma]]&gt;0,ROUND(tab_budget[[#This Row],[Čerpanie]]/tab_budget[[#This Row],[Celková suma]],2),0)</f>
        <v>0</v>
      </c>
      <c r="AB85" s="424">
        <f>tab_budget[[#This Row],[Celková suma]]-tab_budget[[#This Row],[Čerpanie]]</f>
        <v>0</v>
      </c>
      <c r="AC85" s="32"/>
    </row>
    <row r="86" spans="1:29" ht="30" customHeight="1" x14ac:dyDescent="0.25">
      <c r="A86" s="413"/>
      <c r="B86" s="414"/>
      <c r="C86" s="414"/>
      <c r="D86" s="414"/>
      <c r="E86" s="414"/>
      <c r="F86" s="414"/>
      <c r="G86" s="414"/>
      <c r="H86" s="414"/>
      <c r="I86" s="414"/>
      <c r="J86" s="415"/>
      <c r="K86" s="281"/>
      <c r="L86" s="422"/>
      <c r="M86" s="422"/>
      <c r="N86" s="422"/>
      <c r="O86" s="422"/>
      <c r="P86" s="422"/>
      <c r="Q86" s="422"/>
      <c r="R86" s="422"/>
      <c r="S86" s="422"/>
      <c r="T86" s="422"/>
      <c r="U86" s="422"/>
      <c r="V86" s="422"/>
      <c r="W86" s="422"/>
      <c r="X86" s="422">
        <f>SUM(tab_budget[[#This Row],[Poznámky]:[PSP12]])</f>
        <v>0</v>
      </c>
      <c r="Y86" s="422">
        <f>SUMIF(tab_invoices['#],tab_budget[[#This Row],['#]],tab_invoices[Nárokovaná suma])-SUMIF(tab_invoices['#],tab_budget[[#This Row],['#]],tab_invoices[Neoprávnené výdavky])</f>
        <v>0</v>
      </c>
      <c r="Z86" s="422">
        <f>tab_budget[[#This Row],[Medzisúčet]]+tab_budget[[#This Row],[Aktuálna PSP]]</f>
        <v>0</v>
      </c>
      <c r="AA86" s="423">
        <f>IF(tab_budget[[#This Row],[Celková suma]]&gt;0,ROUND(tab_budget[[#This Row],[Čerpanie]]/tab_budget[[#This Row],[Celková suma]],2),0)</f>
        <v>0</v>
      </c>
      <c r="AB86" s="424">
        <f>tab_budget[[#This Row],[Celková suma]]-tab_budget[[#This Row],[Čerpanie]]</f>
        <v>0</v>
      </c>
      <c r="AC86" s="32"/>
    </row>
    <row r="87" spans="1:29" ht="30" customHeight="1" x14ac:dyDescent="0.25">
      <c r="A87" s="413"/>
      <c r="B87" s="414"/>
      <c r="C87" s="414"/>
      <c r="D87" s="414"/>
      <c r="E87" s="414"/>
      <c r="F87" s="414"/>
      <c r="G87" s="414"/>
      <c r="H87" s="414"/>
      <c r="I87" s="414"/>
      <c r="J87" s="415"/>
      <c r="K87" s="281"/>
      <c r="L87" s="422"/>
      <c r="M87" s="422"/>
      <c r="N87" s="422"/>
      <c r="O87" s="422"/>
      <c r="P87" s="422"/>
      <c r="Q87" s="422"/>
      <c r="R87" s="422"/>
      <c r="S87" s="422"/>
      <c r="T87" s="422"/>
      <c r="U87" s="422"/>
      <c r="V87" s="422"/>
      <c r="W87" s="422"/>
      <c r="X87" s="422">
        <f>SUM(tab_budget[[#This Row],[Poznámky]:[PSP12]])</f>
        <v>0</v>
      </c>
      <c r="Y87" s="422">
        <f>SUMIF(tab_invoices['#],tab_budget[[#This Row],['#]],tab_invoices[Nárokovaná suma])-SUMIF(tab_invoices['#],tab_budget[[#This Row],['#]],tab_invoices[Neoprávnené výdavky])</f>
        <v>0</v>
      </c>
      <c r="Z87" s="422">
        <f>tab_budget[[#This Row],[Medzisúčet]]+tab_budget[[#This Row],[Aktuálna PSP]]</f>
        <v>0</v>
      </c>
      <c r="AA87" s="423">
        <f>IF(tab_budget[[#This Row],[Celková suma]]&gt;0,ROUND(tab_budget[[#This Row],[Čerpanie]]/tab_budget[[#This Row],[Celková suma]],2),0)</f>
        <v>0</v>
      </c>
      <c r="AB87" s="424">
        <f>tab_budget[[#This Row],[Celková suma]]-tab_budget[[#This Row],[Čerpanie]]</f>
        <v>0</v>
      </c>
      <c r="AC87" s="32"/>
    </row>
    <row r="88" spans="1:29" ht="30" customHeight="1" x14ac:dyDescent="0.25">
      <c r="A88" s="413"/>
      <c r="B88" s="414"/>
      <c r="C88" s="414"/>
      <c r="D88" s="414"/>
      <c r="E88" s="414"/>
      <c r="F88" s="414"/>
      <c r="G88" s="414"/>
      <c r="H88" s="414"/>
      <c r="I88" s="414"/>
      <c r="J88" s="415"/>
      <c r="K88" s="281"/>
      <c r="L88" s="422"/>
      <c r="M88" s="422"/>
      <c r="N88" s="422"/>
      <c r="O88" s="422"/>
      <c r="P88" s="422"/>
      <c r="Q88" s="422"/>
      <c r="R88" s="422"/>
      <c r="S88" s="422"/>
      <c r="T88" s="422"/>
      <c r="U88" s="422"/>
      <c r="V88" s="422"/>
      <c r="W88" s="422"/>
      <c r="X88" s="422">
        <f>SUM(tab_budget[[#This Row],[Poznámky]:[PSP12]])</f>
        <v>0</v>
      </c>
      <c r="Y88" s="422">
        <f>SUMIF(tab_invoices['#],tab_budget[[#This Row],['#]],tab_invoices[Nárokovaná suma])-SUMIF(tab_invoices['#],tab_budget[[#This Row],['#]],tab_invoices[Neoprávnené výdavky])</f>
        <v>0</v>
      </c>
      <c r="Z88" s="422">
        <f>tab_budget[[#This Row],[Medzisúčet]]+tab_budget[[#This Row],[Aktuálna PSP]]</f>
        <v>0</v>
      </c>
      <c r="AA88" s="423">
        <f>IF(tab_budget[[#This Row],[Celková suma]]&gt;0,ROUND(tab_budget[[#This Row],[Čerpanie]]/tab_budget[[#This Row],[Celková suma]],2),0)</f>
        <v>0</v>
      </c>
      <c r="AB88" s="424">
        <f>tab_budget[[#This Row],[Celková suma]]-tab_budget[[#This Row],[Čerpanie]]</f>
        <v>0</v>
      </c>
      <c r="AC88" s="32"/>
    </row>
    <row r="89" spans="1:29" ht="30" customHeight="1" x14ac:dyDescent="0.25">
      <c r="A89" s="413"/>
      <c r="B89" s="414"/>
      <c r="C89" s="414"/>
      <c r="D89" s="414"/>
      <c r="E89" s="414"/>
      <c r="F89" s="414"/>
      <c r="G89" s="414"/>
      <c r="H89" s="414"/>
      <c r="I89" s="414"/>
      <c r="J89" s="415"/>
      <c r="K89" s="281"/>
      <c r="L89" s="422"/>
      <c r="M89" s="422"/>
      <c r="N89" s="422"/>
      <c r="O89" s="422"/>
      <c r="P89" s="422"/>
      <c r="Q89" s="422"/>
      <c r="R89" s="422"/>
      <c r="S89" s="422"/>
      <c r="T89" s="422"/>
      <c r="U89" s="422"/>
      <c r="V89" s="422"/>
      <c r="W89" s="422"/>
      <c r="X89" s="422">
        <f>SUM(tab_budget[[#This Row],[Poznámky]:[PSP12]])</f>
        <v>0</v>
      </c>
      <c r="Y89" s="422">
        <f>SUMIF(tab_invoices['#],tab_budget[[#This Row],['#]],tab_invoices[Nárokovaná suma])-SUMIF(tab_invoices['#],tab_budget[[#This Row],['#]],tab_invoices[Neoprávnené výdavky])</f>
        <v>0</v>
      </c>
      <c r="Z89" s="422">
        <f>tab_budget[[#This Row],[Medzisúčet]]+tab_budget[[#This Row],[Aktuálna PSP]]</f>
        <v>0</v>
      </c>
      <c r="AA89" s="423">
        <f>IF(tab_budget[[#This Row],[Celková suma]]&gt;0,ROUND(tab_budget[[#This Row],[Čerpanie]]/tab_budget[[#This Row],[Celková suma]],2),0)</f>
        <v>0</v>
      </c>
      <c r="AB89" s="424">
        <f>tab_budget[[#This Row],[Celková suma]]-tab_budget[[#This Row],[Čerpanie]]</f>
        <v>0</v>
      </c>
      <c r="AC89" s="32"/>
    </row>
    <row r="90" spans="1:29" ht="30" customHeight="1" x14ac:dyDescent="0.25">
      <c r="A90" s="413"/>
      <c r="B90" s="414"/>
      <c r="C90" s="414"/>
      <c r="D90" s="414"/>
      <c r="E90" s="414"/>
      <c r="F90" s="414"/>
      <c r="G90" s="414"/>
      <c r="H90" s="414"/>
      <c r="I90" s="414"/>
      <c r="J90" s="415"/>
      <c r="K90" s="281"/>
      <c r="L90" s="422"/>
      <c r="M90" s="422"/>
      <c r="N90" s="422"/>
      <c r="O90" s="422"/>
      <c r="P90" s="422"/>
      <c r="Q90" s="422"/>
      <c r="R90" s="422"/>
      <c r="S90" s="422"/>
      <c r="T90" s="422"/>
      <c r="U90" s="422"/>
      <c r="V90" s="422"/>
      <c r="W90" s="422"/>
      <c r="X90" s="422">
        <f>SUM(tab_budget[[#This Row],[Poznámky]:[PSP12]])</f>
        <v>0</v>
      </c>
      <c r="Y90" s="422">
        <f>SUMIF(tab_invoices['#],tab_budget[[#This Row],['#]],tab_invoices[Nárokovaná suma])-SUMIF(tab_invoices['#],tab_budget[[#This Row],['#]],tab_invoices[Neoprávnené výdavky])</f>
        <v>0</v>
      </c>
      <c r="Z90" s="422">
        <f>tab_budget[[#This Row],[Medzisúčet]]+tab_budget[[#This Row],[Aktuálna PSP]]</f>
        <v>0</v>
      </c>
      <c r="AA90" s="423">
        <f>IF(tab_budget[[#This Row],[Celková suma]]&gt;0,ROUND(tab_budget[[#This Row],[Čerpanie]]/tab_budget[[#This Row],[Celková suma]],2),0)</f>
        <v>0</v>
      </c>
      <c r="AB90" s="424">
        <f>tab_budget[[#This Row],[Celková suma]]-tab_budget[[#This Row],[Čerpanie]]</f>
        <v>0</v>
      </c>
      <c r="AC90" s="32"/>
    </row>
    <row r="91" spans="1:29" ht="30" customHeight="1" x14ac:dyDescent="0.25">
      <c r="A91" s="413"/>
      <c r="B91" s="414"/>
      <c r="C91" s="414"/>
      <c r="D91" s="414"/>
      <c r="E91" s="414"/>
      <c r="F91" s="414"/>
      <c r="G91" s="414"/>
      <c r="H91" s="414"/>
      <c r="I91" s="414"/>
      <c r="J91" s="415"/>
      <c r="K91" s="281"/>
      <c r="L91" s="422"/>
      <c r="M91" s="422"/>
      <c r="N91" s="422"/>
      <c r="O91" s="422"/>
      <c r="P91" s="422"/>
      <c r="Q91" s="422"/>
      <c r="R91" s="422"/>
      <c r="S91" s="422"/>
      <c r="T91" s="422"/>
      <c r="U91" s="422"/>
      <c r="V91" s="422"/>
      <c r="W91" s="422"/>
      <c r="X91" s="422">
        <f>SUM(tab_budget[[#This Row],[Poznámky]:[PSP12]])</f>
        <v>0</v>
      </c>
      <c r="Y91" s="422">
        <f>SUMIF(tab_invoices['#],tab_budget[[#This Row],['#]],tab_invoices[Nárokovaná suma])-SUMIF(tab_invoices['#],tab_budget[[#This Row],['#]],tab_invoices[Neoprávnené výdavky])</f>
        <v>0</v>
      </c>
      <c r="Z91" s="422">
        <f>tab_budget[[#This Row],[Medzisúčet]]+tab_budget[[#This Row],[Aktuálna PSP]]</f>
        <v>0</v>
      </c>
      <c r="AA91" s="423">
        <f>IF(tab_budget[[#This Row],[Celková suma]]&gt;0,ROUND(tab_budget[[#This Row],[Čerpanie]]/tab_budget[[#This Row],[Celková suma]],2),0)</f>
        <v>0</v>
      </c>
      <c r="AB91" s="424">
        <f>tab_budget[[#This Row],[Celková suma]]-tab_budget[[#This Row],[Čerpanie]]</f>
        <v>0</v>
      </c>
      <c r="AC91" s="32"/>
    </row>
    <row r="92" spans="1:29" ht="30" customHeight="1" x14ac:dyDescent="0.25">
      <c r="A92" s="413"/>
      <c r="B92" s="414"/>
      <c r="C92" s="414"/>
      <c r="D92" s="414"/>
      <c r="E92" s="414"/>
      <c r="F92" s="414"/>
      <c r="G92" s="414"/>
      <c r="H92" s="414"/>
      <c r="I92" s="414"/>
      <c r="J92" s="415"/>
      <c r="K92" s="281"/>
      <c r="L92" s="422"/>
      <c r="M92" s="422"/>
      <c r="N92" s="422"/>
      <c r="O92" s="422"/>
      <c r="P92" s="422"/>
      <c r="Q92" s="422"/>
      <c r="R92" s="422"/>
      <c r="S92" s="422"/>
      <c r="T92" s="422"/>
      <c r="U92" s="422"/>
      <c r="V92" s="422"/>
      <c r="W92" s="422"/>
      <c r="X92" s="422">
        <f>SUM(tab_budget[[#This Row],[Poznámky]:[PSP12]])</f>
        <v>0</v>
      </c>
      <c r="Y92" s="422">
        <f>SUMIF(tab_invoices['#],tab_budget[[#This Row],['#]],tab_invoices[Nárokovaná suma])-SUMIF(tab_invoices['#],tab_budget[[#This Row],['#]],tab_invoices[Neoprávnené výdavky])</f>
        <v>0</v>
      </c>
      <c r="Z92" s="422">
        <f>tab_budget[[#This Row],[Medzisúčet]]+tab_budget[[#This Row],[Aktuálna PSP]]</f>
        <v>0</v>
      </c>
      <c r="AA92" s="423">
        <f>IF(tab_budget[[#This Row],[Celková suma]]&gt;0,ROUND(tab_budget[[#This Row],[Čerpanie]]/tab_budget[[#This Row],[Celková suma]],2),0)</f>
        <v>0</v>
      </c>
      <c r="AB92" s="424">
        <f>tab_budget[[#This Row],[Celková suma]]-tab_budget[[#This Row],[Čerpanie]]</f>
        <v>0</v>
      </c>
      <c r="AC92" s="32"/>
    </row>
    <row r="93" spans="1:29" ht="30" customHeight="1" x14ac:dyDescent="0.25">
      <c r="A93" s="413"/>
      <c r="B93" s="414"/>
      <c r="C93" s="414"/>
      <c r="D93" s="414"/>
      <c r="E93" s="414"/>
      <c r="F93" s="414"/>
      <c r="G93" s="414"/>
      <c r="H93" s="414"/>
      <c r="I93" s="414"/>
      <c r="J93" s="415"/>
      <c r="K93" s="281"/>
      <c r="L93" s="422"/>
      <c r="M93" s="422"/>
      <c r="N93" s="422"/>
      <c r="O93" s="422"/>
      <c r="P93" s="422"/>
      <c r="Q93" s="422"/>
      <c r="R93" s="422"/>
      <c r="S93" s="422"/>
      <c r="T93" s="422"/>
      <c r="U93" s="422"/>
      <c r="V93" s="422"/>
      <c r="W93" s="422"/>
      <c r="X93" s="422">
        <f>SUM(tab_budget[[#This Row],[Poznámky]:[PSP12]])</f>
        <v>0</v>
      </c>
      <c r="Y93" s="422">
        <f>SUMIF(tab_invoices['#],tab_budget[[#This Row],['#]],tab_invoices[Nárokovaná suma])-SUMIF(tab_invoices['#],tab_budget[[#This Row],['#]],tab_invoices[Neoprávnené výdavky])</f>
        <v>0</v>
      </c>
      <c r="Z93" s="422">
        <f>tab_budget[[#This Row],[Medzisúčet]]+tab_budget[[#This Row],[Aktuálna PSP]]</f>
        <v>0</v>
      </c>
      <c r="AA93" s="423">
        <f>IF(tab_budget[[#This Row],[Celková suma]]&gt;0,ROUND(tab_budget[[#This Row],[Čerpanie]]/tab_budget[[#This Row],[Celková suma]],2),0)</f>
        <v>0</v>
      </c>
      <c r="AB93" s="424">
        <f>tab_budget[[#This Row],[Celková suma]]-tab_budget[[#This Row],[Čerpanie]]</f>
        <v>0</v>
      </c>
      <c r="AC93" s="32"/>
    </row>
    <row r="94" spans="1:29" ht="30" customHeight="1" x14ac:dyDescent="0.25">
      <c r="A94" s="413"/>
      <c r="B94" s="414"/>
      <c r="C94" s="414"/>
      <c r="D94" s="414"/>
      <c r="E94" s="414"/>
      <c r="F94" s="414"/>
      <c r="G94" s="414"/>
      <c r="H94" s="414"/>
      <c r="I94" s="414"/>
      <c r="J94" s="415"/>
      <c r="K94" s="281"/>
      <c r="L94" s="422"/>
      <c r="M94" s="422"/>
      <c r="N94" s="422"/>
      <c r="O94" s="422"/>
      <c r="P94" s="422"/>
      <c r="Q94" s="422"/>
      <c r="R94" s="422"/>
      <c r="S94" s="422"/>
      <c r="T94" s="422"/>
      <c r="U94" s="422"/>
      <c r="V94" s="422"/>
      <c r="W94" s="422"/>
      <c r="X94" s="422">
        <f>SUM(tab_budget[[#This Row],[Poznámky]:[PSP12]])</f>
        <v>0</v>
      </c>
      <c r="Y94" s="422">
        <f>SUMIF(tab_invoices['#],tab_budget[[#This Row],['#]],tab_invoices[Nárokovaná suma])-SUMIF(tab_invoices['#],tab_budget[[#This Row],['#]],tab_invoices[Neoprávnené výdavky])</f>
        <v>0</v>
      </c>
      <c r="Z94" s="422">
        <f>tab_budget[[#This Row],[Medzisúčet]]+tab_budget[[#This Row],[Aktuálna PSP]]</f>
        <v>0</v>
      </c>
      <c r="AA94" s="423">
        <f>IF(tab_budget[[#This Row],[Celková suma]]&gt;0,ROUND(tab_budget[[#This Row],[Čerpanie]]/tab_budget[[#This Row],[Celková suma]],2),0)</f>
        <v>0</v>
      </c>
      <c r="AB94" s="424">
        <f>tab_budget[[#This Row],[Celková suma]]-tab_budget[[#This Row],[Čerpanie]]</f>
        <v>0</v>
      </c>
      <c r="AC94" s="32"/>
    </row>
    <row r="95" spans="1:29" ht="30" customHeight="1" x14ac:dyDescent="0.25">
      <c r="A95" s="413"/>
      <c r="B95" s="414"/>
      <c r="C95" s="414"/>
      <c r="D95" s="414"/>
      <c r="E95" s="414"/>
      <c r="F95" s="414"/>
      <c r="G95" s="414"/>
      <c r="H95" s="414"/>
      <c r="I95" s="414"/>
      <c r="J95" s="415"/>
      <c r="K95" s="281"/>
      <c r="L95" s="422"/>
      <c r="M95" s="422"/>
      <c r="N95" s="422"/>
      <c r="O95" s="422"/>
      <c r="P95" s="422"/>
      <c r="Q95" s="422"/>
      <c r="R95" s="422"/>
      <c r="S95" s="422"/>
      <c r="T95" s="422"/>
      <c r="U95" s="422"/>
      <c r="V95" s="422"/>
      <c r="W95" s="422"/>
      <c r="X95" s="422">
        <f>SUM(tab_budget[[#This Row],[Poznámky]:[PSP12]])</f>
        <v>0</v>
      </c>
      <c r="Y95" s="422">
        <f>SUMIF(tab_invoices['#],tab_budget[[#This Row],['#]],tab_invoices[Nárokovaná suma])-SUMIF(tab_invoices['#],tab_budget[[#This Row],['#]],tab_invoices[Neoprávnené výdavky])</f>
        <v>0</v>
      </c>
      <c r="Z95" s="422">
        <f>tab_budget[[#This Row],[Medzisúčet]]+tab_budget[[#This Row],[Aktuálna PSP]]</f>
        <v>0</v>
      </c>
      <c r="AA95" s="423">
        <f>IF(tab_budget[[#This Row],[Celková suma]]&gt;0,ROUND(tab_budget[[#This Row],[Čerpanie]]/tab_budget[[#This Row],[Celková suma]],2),0)</f>
        <v>0</v>
      </c>
      <c r="AB95" s="424">
        <f>tab_budget[[#This Row],[Celková suma]]-tab_budget[[#This Row],[Čerpanie]]</f>
        <v>0</v>
      </c>
      <c r="AC95" s="32"/>
    </row>
    <row r="96" spans="1:29" ht="30" customHeight="1" x14ac:dyDescent="0.25">
      <c r="A96" s="413"/>
      <c r="B96" s="414"/>
      <c r="C96" s="414"/>
      <c r="D96" s="414"/>
      <c r="E96" s="414"/>
      <c r="F96" s="414"/>
      <c r="G96" s="414"/>
      <c r="H96" s="414"/>
      <c r="I96" s="414"/>
      <c r="J96" s="415"/>
      <c r="K96" s="281"/>
      <c r="L96" s="422"/>
      <c r="M96" s="422"/>
      <c r="N96" s="422"/>
      <c r="O96" s="422"/>
      <c r="P96" s="422"/>
      <c r="Q96" s="422"/>
      <c r="R96" s="422"/>
      <c r="S96" s="422"/>
      <c r="T96" s="422"/>
      <c r="U96" s="422"/>
      <c r="V96" s="422"/>
      <c r="W96" s="422"/>
      <c r="X96" s="422">
        <f>SUM(tab_budget[[#This Row],[Poznámky]:[PSP12]])</f>
        <v>0</v>
      </c>
      <c r="Y96" s="422">
        <f>SUMIF(tab_invoices['#],tab_budget[[#This Row],['#]],tab_invoices[Nárokovaná suma])-SUMIF(tab_invoices['#],tab_budget[[#This Row],['#]],tab_invoices[Neoprávnené výdavky])</f>
        <v>0</v>
      </c>
      <c r="Z96" s="422">
        <f>tab_budget[[#This Row],[Medzisúčet]]+tab_budget[[#This Row],[Aktuálna PSP]]</f>
        <v>0</v>
      </c>
      <c r="AA96" s="423">
        <f>IF(tab_budget[[#This Row],[Celková suma]]&gt;0,ROUND(tab_budget[[#This Row],[Čerpanie]]/tab_budget[[#This Row],[Celková suma]],2),0)</f>
        <v>0</v>
      </c>
      <c r="AB96" s="424">
        <f>tab_budget[[#This Row],[Celková suma]]-tab_budget[[#This Row],[Čerpanie]]</f>
        <v>0</v>
      </c>
      <c r="AC96" s="32"/>
    </row>
    <row r="97" spans="1:29" ht="30" customHeight="1" x14ac:dyDescent="0.25">
      <c r="A97" s="413"/>
      <c r="B97" s="414"/>
      <c r="C97" s="414"/>
      <c r="D97" s="414"/>
      <c r="E97" s="414"/>
      <c r="F97" s="414"/>
      <c r="G97" s="414"/>
      <c r="H97" s="414"/>
      <c r="I97" s="414"/>
      <c r="J97" s="415"/>
      <c r="K97" s="281"/>
      <c r="L97" s="422"/>
      <c r="M97" s="422"/>
      <c r="N97" s="422"/>
      <c r="O97" s="422"/>
      <c r="P97" s="422"/>
      <c r="Q97" s="422"/>
      <c r="R97" s="422"/>
      <c r="S97" s="422"/>
      <c r="T97" s="422"/>
      <c r="U97" s="422"/>
      <c r="V97" s="422"/>
      <c r="W97" s="422"/>
      <c r="X97" s="422">
        <f>SUM(tab_budget[[#This Row],[Poznámky]:[PSP12]])</f>
        <v>0</v>
      </c>
      <c r="Y97" s="422">
        <f>SUMIF(tab_invoices['#],tab_budget[[#This Row],['#]],tab_invoices[Nárokovaná suma])-SUMIF(tab_invoices['#],tab_budget[[#This Row],['#]],tab_invoices[Neoprávnené výdavky])</f>
        <v>0</v>
      </c>
      <c r="Z97" s="422">
        <f>tab_budget[[#This Row],[Medzisúčet]]+tab_budget[[#This Row],[Aktuálna PSP]]</f>
        <v>0</v>
      </c>
      <c r="AA97" s="423">
        <f>IF(tab_budget[[#This Row],[Celková suma]]&gt;0,ROUND(tab_budget[[#This Row],[Čerpanie]]/tab_budget[[#This Row],[Celková suma]],2),0)</f>
        <v>0</v>
      </c>
      <c r="AB97" s="424">
        <f>tab_budget[[#This Row],[Celková suma]]-tab_budget[[#This Row],[Čerpanie]]</f>
        <v>0</v>
      </c>
      <c r="AC97" s="32"/>
    </row>
    <row r="98" spans="1:29" ht="30" customHeight="1" x14ac:dyDescent="0.25">
      <c r="A98" s="413"/>
      <c r="B98" s="414"/>
      <c r="C98" s="414"/>
      <c r="D98" s="414"/>
      <c r="E98" s="414"/>
      <c r="F98" s="414"/>
      <c r="G98" s="414"/>
      <c r="H98" s="414"/>
      <c r="I98" s="414"/>
      <c r="J98" s="415"/>
      <c r="K98" s="281"/>
      <c r="L98" s="422"/>
      <c r="M98" s="422"/>
      <c r="N98" s="422"/>
      <c r="O98" s="422"/>
      <c r="P98" s="422"/>
      <c r="Q98" s="422"/>
      <c r="R98" s="422"/>
      <c r="S98" s="422"/>
      <c r="T98" s="422"/>
      <c r="U98" s="422"/>
      <c r="V98" s="422"/>
      <c r="W98" s="422"/>
      <c r="X98" s="422">
        <f>SUM(tab_budget[[#This Row],[Poznámky]:[PSP12]])</f>
        <v>0</v>
      </c>
      <c r="Y98" s="422">
        <f>SUMIF(tab_invoices['#],tab_budget[[#This Row],['#]],tab_invoices[Nárokovaná suma])-SUMIF(tab_invoices['#],tab_budget[[#This Row],['#]],tab_invoices[Neoprávnené výdavky])</f>
        <v>0</v>
      </c>
      <c r="Z98" s="422">
        <f>tab_budget[[#This Row],[Medzisúčet]]+tab_budget[[#This Row],[Aktuálna PSP]]</f>
        <v>0</v>
      </c>
      <c r="AA98" s="423">
        <f>IF(tab_budget[[#This Row],[Celková suma]]&gt;0,ROUND(tab_budget[[#This Row],[Čerpanie]]/tab_budget[[#This Row],[Celková suma]],2),0)</f>
        <v>0</v>
      </c>
      <c r="AB98" s="424">
        <f>tab_budget[[#This Row],[Celková suma]]-tab_budget[[#This Row],[Čerpanie]]</f>
        <v>0</v>
      </c>
      <c r="AC98" s="32"/>
    </row>
    <row r="99" spans="1:29" ht="30" customHeight="1" x14ac:dyDescent="0.25">
      <c r="A99" s="413"/>
      <c r="B99" s="414"/>
      <c r="C99" s="414"/>
      <c r="D99" s="414"/>
      <c r="E99" s="414"/>
      <c r="F99" s="414"/>
      <c r="G99" s="414"/>
      <c r="H99" s="414"/>
      <c r="I99" s="414"/>
      <c r="J99" s="415"/>
      <c r="K99" s="281"/>
      <c r="L99" s="422"/>
      <c r="M99" s="422"/>
      <c r="N99" s="422"/>
      <c r="O99" s="422"/>
      <c r="P99" s="422"/>
      <c r="Q99" s="422"/>
      <c r="R99" s="422"/>
      <c r="S99" s="422"/>
      <c r="T99" s="422"/>
      <c r="U99" s="422"/>
      <c r="V99" s="422"/>
      <c r="W99" s="422"/>
      <c r="X99" s="422">
        <f>SUM(tab_budget[[#This Row],[Poznámky]:[PSP12]])</f>
        <v>0</v>
      </c>
      <c r="Y99" s="422">
        <f>SUMIF(tab_invoices['#],tab_budget[[#This Row],['#]],tab_invoices[Nárokovaná suma])-SUMIF(tab_invoices['#],tab_budget[[#This Row],['#]],tab_invoices[Neoprávnené výdavky])</f>
        <v>0</v>
      </c>
      <c r="Z99" s="422">
        <f>tab_budget[[#This Row],[Medzisúčet]]+tab_budget[[#This Row],[Aktuálna PSP]]</f>
        <v>0</v>
      </c>
      <c r="AA99" s="423">
        <f>IF(tab_budget[[#This Row],[Celková suma]]&gt;0,ROUND(tab_budget[[#This Row],[Čerpanie]]/tab_budget[[#This Row],[Celková suma]],2),0)</f>
        <v>0</v>
      </c>
      <c r="AB99" s="424">
        <f>tab_budget[[#This Row],[Celková suma]]-tab_budget[[#This Row],[Čerpanie]]</f>
        <v>0</v>
      </c>
      <c r="AC99" s="32"/>
    </row>
    <row r="100" spans="1:29" ht="30" customHeight="1" x14ac:dyDescent="0.25">
      <c r="A100" s="425"/>
      <c r="B100" s="426"/>
      <c r="C100" s="426"/>
      <c r="D100" s="426"/>
      <c r="E100" s="426"/>
      <c r="F100" s="426"/>
      <c r="G100" s="426"/>
      <c r="H100" s="426"/>
      <c r="I100" s="426"/>
      <c r="J100" s="427"/>
      <c r="K100" s="428"/>
      <c r="L100" s="429"/>
      <c r="M100" s="429"/>
      <c r="N100" s="429"/>
      <c r="O100" s="429"/>
      <c r="P100" s="429"/>
      <c r="Q100" s="429"/>
      <c r="R100" s="429"/>
      <c r="S100" s="429"/>
      <c r="T100" s="429"/>
      <c r="U100" s="429"/>
      <c r="V100" s="429"/>
      <c r="W100" s="429"/>
      <c r="X100" s="422">
        <f>SUM(tab_budget[[#This Row],[Poznámky]:[PSP12]])</f>
        <v>0</v>
      </c>
      <c r="Y100" s="429">
        <f>SUMIF(tab_invoices['#],tab_budget[[#This Row],['#]],tab_invoices[Nárokovaná suma])-SUMIF(tab_invoices['#],tab_budget[[#This Row],['#]],tab_invoices[Neoprávnené výdavky])</f>
        <v>0</v>
      </c>
      <c r="Z100" s="422">
        <f>tab_budget[[#This Row],[Medzisúčet]]+tab_budget[[#This Row],[Aktuálna PSP]]</f>
        <v>0</v>
      </c>
      <c r="AA100" s="430">
        <f>IF(tab_budget[[#This Row],[Celková suma]]&gt;0,ROUND(tab_budget[[#This Row],[Čerpanie]]/tab_budget[[#This Row],[Celková suma]],2),0)</f>
        <v>0</v>
      </c>
      <c r="AB100" s="424">
        <f>tab_budget[[#This Row],[Celková suma]]-tab_budget[[#This Row],[Čerpanie]]</f>
        <v>0</v>
      </c>
      <c r="AC100" s="32"/>
    </row>
    <row r="101" spans="1:29" ht="15" customHeight="1" x14ac:dyDescent="0.25">
      <c r="L101" s="32"/>
    </row>
  </sheetData>
  <sheetProtection password="F965" sheet="1" objects="1" scenarios="1" selectLockedCells="1" sort="0" autoFilter="0" selectUnlockedCells="1"/>
  <phoneticPr fontId="4" type="noConversion"/>
  <conditionalFormatting sqref="AB2:AB100">
    <cfRule type="expression" dxfId="109" priority="1">
      <formula>AB2&lt;-10000</formula>
    </cfRule>
    <cfRule type="expression" dxfId="108" priority="2">
      <formula>AA2&gt;1.15</formula>
    </cfRule>
    <cfRule type="expression" dxfId="107" priority="5">
      <formula>AA2&gt;1</formula>
    </cfRule>
    <cfRule type="expression" dxfId="106" priority="6">
      <formula>AA2&gt;0.9</formula>
    </cfRule>
  </conditionalFormatting>
  <conditionalFormatting sqref="A2:AB100">
    <cfRule type="expression" dxfId="105" priority="3">
      <formula>ISBLANK($A1)=FALSE</formula>
    </cfRule>
    <cfRule type="expression" dxfId="104" priority="4">
      <formula>ISBLANK($A2)</formula>
    </cfRule>
  </conditionalFormatting>
  <dataValidations count="4">
    <dataValidation type="list" allowBlank="1" showInputMessage="1" showErrorMessage="1" sqref="G2:G7">
      <formula1>types_of_expenditure</formula1>
    </dataValidation>
    <dataValidation type="list" allowBlank="1" showInputMessage="1" showErrorMessage="1" sqref="H2:H7">
      <formula1>activities</formula1>
    </dataValidation>
    <dataValidation type="list" allowBlank="1" showInputMessage="1" showErrorMessage="1" sqref="I2:I7">
      <formula1>budget_headings</formula1>
    </dataValidation>
    <dataValidation type="list" allowBlank="1" showInputMessage="1" showErrorMessage="1" sqref="J2:J7">
      <formula1>entities</formula1>
    </dataValidation>
  </dataValidations>
  <pageMargins left="0.75" right="0.75" top="1" bottom="1" header="0.4921259845" footer="0.4921259845"/>
  <pageSetup paperSize="9" scale="80" orientation="landscape" r:id="rId1"/>
  <headerFooter alignWithMargins="0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/>
  <dimension ref="A1:AA101"/>
  <sheetViews>
    <sheetView workbookViewId="0">
      <selection activeCell="V2" sqref="V2"/>
    </sheetView>
  </sheetViews>
  <sheetFormatPr defaultColWidth="9.109375" defaultRowHeight="10.199999999999999" outlineLevelCol="1" x14ac:dyDescent="0.25"/>
  <cols>
    <col min="1" max="1" width="4" style="1" customWidth="1"/>
    <col min="2" max="2" width="26" style="1" customWidth="1"/>
    <col min="3" max="7" width="11.109375" style="1" hidden="1" customWidth="1" outlineLevel="1"/>
    <col min="8" max="8" width="11.109375" style="1" customWidth="1" collapsed="1"/>
    <col min="9" max="13" width="11.109375" style="1" hidden="1" customWidth="1" outlineLevel="1"/>
    <col min="14" max="14" width="11.109375" style="1" customWidth="1" collapsed="1"/>
    <col min="15" max="19" width="11.109375" style="1" hidden="1" customWidth="1" outlineLevel="1"/>
    <col min="20" max="20" width="11.109375" style="1" customWidth="1" collapsed="1"/>
    <col min="21" max="25" width="11.109375" style="1" hidden="1" customWidth="1" outlineLevel="1"/>
    <col min="26" max="26" width="11.109375" style="1" customWidth="1" collapsed="1"/>
    <col min="27" max="27" width="11.109375" style="32" customWidth="1"/>
    <col min="28" max="16384" width="9.109375" style="32"/>
  </cols>
  <sheetData>
    <row r="1" spans="1:27" ht="54" customHeight="1" x14ac:dyDescent="0.25">
      <c r="A1" s="253" t="s">
        <v>420</v>
      </c>
      <c r="B1" s="253" t="s">
        <v>417</v>
      </c>
      <c r="C1" s="254" t="s">
        <v>478</v>
      </c>
      <c r="D1" s="254" t="s">
        <v>479</v>
      </c>
      <c r="E1" s="254" t="s">
        <v>480</v>
      </c>
      <c r="F1" s="254" t="s">
        <v>481</v>
      </c>
      <c r="G1" s="254" t="s">
        <v>482</v>
      </c>
      <c r="H1" s="254" t="s">
        <v>483</v>
      </c>
      <c r="I1" s="254" t="s">
        <v>484</v>
      </c>
      <c r="J1" s="254" t="s">
        <v>485</v>
      </c>
      <c r="K1" s="254" t="s">
        <v>486</v>
      </c>
      <c r="L1" s="254" t="s">
        <v>487</v>
      </c>
      <c r="M1" s="254" t="s">
        <v>488</v>
      </c>
      <c r="N1" s="254" t="s">
        <v>489</v>
      </c>
      <c r="O1" s="254" t="s">
        <v>490</v>
      </c>
      <c r="P1" s="254" t="s">
        <v>491</v>
      </c>
      <c r="Q1" s="254" t="s">
        <v>492</v>
      </c>
      <c r="R1" s="254" t="s">
        <v>493</v>
      </c>
      <c r="S1" s="254" t="s">
        <v>494</v>
      </c>
      <c r="T1" s="254" t="s">
        <v>495</v>
      </c>
      <c r="U1" s="254" t="s">
        <v>496</v>
      </c>
      <c r="V1" s="254" t="s">
        <v>497</v>
      </c>
      <c r="W1" s="254" t="s">
        <v>498</v>
      </c>
      <c r="X1" s="254" t="s">
        <v>499</v>
      </c>
      <c r="Y1" s="254" t="s">
        <v>500</v>
      </c>
      <c r="Z1" s="254" t="s">
        <v>501</v>
      </c>
      <c r="AA1" s="254" t="s">
        <v>502</v>
      </c>
    </row>
    <row r="2" spans="1:27" ht="30" customHeight="1" x14ac:dyDescent="0.25">
      <c r="A2" s="245">
        <v>1</v>
      </c>
      <c r="B2" s="251" t="s">
        <v>14</v>
      </c>
      <c r="C2" s="251">
        <f t="array" ref="C2">SUM(IF(tab_budget[Realizuje]="Prijímateľ",IF(tab_budget[Aktivita]="Riadenie projektu",tab_budget[Celková suma]),0))</f>
        <v>0</v>
      </c>
      <c r="D2" s="414">
        <f t="array" ref="D2">SUM(IF(tab_budget[Realizuje]="Partner1",IF(tab_budget[Aktivita]="Riadenie projektu",tab_budget[Celková suma]),0))</f>
        <v>0</v>
      </c>
      <c r="E2" s="414">
        <f t="array" ref="E2">SUM(IF(tab_budget[Realizuje]="Partner2",IF(tab_budget[Aktivita]="Riadenie projektu",tab_budget[Celková suma]),0))</f>
        <v>0</v>
      </c>
      <c r="F2" s="414">
        <f t="array" ref="F2">SUM(IF(tab_budget[Realizuje]="Partner3",IF(tab_budget[Aktivita]="Riadenie projektu",tab_budget[Celková suma]),0))</f>
        <v>0</v>
      </c>
      <c r="G2" s="414">
        <f t="array" ref="G2">SUM(IF(tab_budget[Realizuje]="Partner4",IF(tab_budget[Aktivita]="Riadenie projektu",tab_budget[Celková suma]),0))</f>
        <v>0</v>
      </c>
      <c r="H2" s="251">
        <f>SUM(tab_distribution[[#This Row],[Plán Prijímateľ]:[Plán Partner4]])</f>
        <v>0</v>
      </c>
      <c r="I2" s="417">
        <v>0</v>
      </c>
      <c r="J2" s="441">
        <v>0</v>
      </c>
      <c r="K2" s="441">
        <v>0</v>
      </c>
      <c r="L2" s="441">
        <v>0</v>
      </c>
      <c r="M2" s="441">
        <v>0</v>
      </c>
      <c r="N2" s="396">
        <f>SUM(tab_distribution[[#This Row],[Skutočnosť Prijímateľ]:[Skutočnosť Partner4]])</f>
        <v>0</v>
      </c>
      <c r="O2" s="417">
        <f t="array" ref="O2">SUM(IF(tab_invoices[Realizuje]="Prijímateľ",IF(tab_invoices[Aktivita]="Riadenie projektu",tab_invoices[Nárokovaná suma]-tab_invoices[Neoprávnené výdavky]),0))</f>
        <v>0</v>
      </c>
      <c r="P2" s="417">
        <f t="array" ref="P2">SUM(IF(tab_invoices[Realizuje]="Partner1",IF(tab_invoices[Aktivita]="Riadenie projektu",tab_invoices[Nárokovaná suma]-tab_invoices[Neoprávnené výdavky]),0))</f>
        <v>0</v>
      </c>
      <c r="Q2" s="417">
        <f t="array" ref="Q2">SUM(IF(tab_invoices[Realizuje]="Partner2",IF(tab_invoices[Aktivita]="Riadenie projektu",tab_invoices[Nárokovaná suma]-tab_invoices[Neoprávnené výdavky]),0))</f>
        <v>0</v>
      </c>
      <c r="R2" s="417">
        <f t="array" ref="R2">SUM(IF(tab_invoices[Realizuje]="Partner3",IF(tab_invoices[Aktivita]="Riadenie projektu",tab_invoices[Nárokovaná suma]-tab_invoices[Neoprávnené výdavky]),0))</f>
        <v>0</v>
      </c>
      <c r="S2" s="417">
        <f t="array" ref="S2">SUM(IF(tab_invoices[Realizuje]="Partner4",IF(tab_invoices[Aktivita]="Riadenie projektu",tab_invoices[Nárokovaná suma]-tab_invoices[Neoprávnené výdavky]),0))</f>
        <v>0</v>
      </c>
      <c r="T2" s="251">
        <f>SUM(tab_distribution[[#This Row],[Aktuálna PSP Prijímateľ]:[Aktuálna PSP Partner4]])</f>
        <v>0</v>
      </c>
      <c r="U2" s="417">
        <f>tab_distribution[[#This Row],[Plán Prijímateľ]]-tab_distribution[[#This Row],[Skutočnosť Prijímateľ]]-tab_distribution[[#This Row],[Aktuálna PSP Prijímateľ]]</f>
        <v>0</v>
      </c>
      <c r="V2" s="417">
        <f>tab_distribution[[#This Row],[Plán Partner1]]-tab_distribution[[#This Row],[Skutočnosť Partner1]]-tab_distribution[[#This Row],[Aktuálna PSP Partner1]]</f>
        <v>0</v>
      </c>
      <c r="W2" s="417">
        <f>tab_distribution[[#This Row],[Plán Partner2]]-tab_distribution[[#This Row],[Skutočnosť Partner2]]-tab_distribution[[#This Row],[Aktuálna PSP Partner2]]</f>
        <v>0</v>
      </c>
      <c r="X2" s="417">
        <f>tab_distribution[[#This Row],[Plán Partner3]]-tab_distribution[[#This Row],[Skutočnosť Partner3]]-tab_distribution[[#This Row],[Aktuálna PSP Partner3]]</f>
        <v>0</v>
      </c>
      <c r="Y2" s="417">
        <f>tab_distribution[[#This Row],[Plán Partner4]]-tab_distribution[[#This Row],[Skutočnosť Partner4]]-tab_distribution[[#This Row],[Aktuálna PSP Partner4]]</f>
        <v>0</v>
      </c>
      <c r="Z2" s="251">
        <f>SUM(tab_distribution[[#This Row],[Zostatok Prijímateľ]:[Zostatok Partner4]])</f>
        <v>0</v>
      </c>
      <c r="AA2" s="367">
        <f>IF(tab_distribution[[#This Row],[Plán Spolu]]=0,0,ROUND(tab_distribution[[#This Row],[Zostatok Spolu]]/tab_distribution[[#This Row],[Plán Spolu]],2))</f>
        <v>0</v>
      </c>
    </row>
    <row r="3" spans="1:27" ht="30" customHeight="1" x14ac:dyDescent="0.25">
      <c r="A3" s="245">
        <v>2</v>
      </c>
      <c r="B3" s="251" t="str">
        <f>IF(Activity1_Name="","",Activity1_Name)</f>
        <v/>
      </c>
      <c r="C3" s="414">
        <f t="array" ref="C3">SUM(IF(tab_budget[Realizuje]="Prijímateľ",IF(tab_budget[Aktivita]="Aktivita1",tab_budget[Celková suma]),0))</f>
        <v>0</v>
      </c>
      <c r="D3" s="414">
        <f t="array" ref="D3">SUM(IF(tab_budget[Realizuje]="Partner1",IF(tab_budget[Aktivita]="Aktivita1",tab_budget[Celková suma]),0))</f>
        <v>0</v>
      </c>
      <c r="E3" s="414">
        <f t="array" ref="E3">SUM(IF(tab_budget[Realizuje]="Partner2",IF(tab_budget[Aktivita]="Aktivita1",tab_budget[Celková suma]),0))</f>
        <v>0</v>
      </c>
      <c r="F3" s="414">
        <f t="array" ref="F3">SUM(IF(tab_budget[Realizuje]="Partner3",IF(tab_budget[Aktivita]="Aktivita1",tab_budget[Celková suma]),0))</f>
        <v>0</v>
      </c>
      <c r="G3" s="414">
        <f t="array" ref="G3">SUM(IF(tab_budget[Realizuje]="Partner4",IF(tab_budget[Aktivita]="Aktivita1",tab_budget[Celková suma]),0))</f>
        <v>0</v>
      </c>
      <c r="H3" s="251">
        <f>SUM(tab_distribution[[#This Row],[Plán Prijímateľ]:[Plán Partner4]])</f>
        <v>0</v>
      </c>
      <c r="I3" s="441">
        <v>0</v>
      </c>
      <c r="J3" s="441">
        <v>0</v>
      </c>
      <c r="K3" s="441">
        <v>0</v>
      </c>
      <c r="L3" s="441">
        <v>0</v>
      </c>
      <c r="M3" s="441">
        <v>0</v>
      </c>
      <c r="N3" s="417">
        <f>SUM(tab_distribution[[#This Row],[Skutočnosť Prijímateľ]:[Skutočnosť Partner4]])</f>
        <v>0</v>
      </c>
      <c r="O3" s="417">
        <f t="array" ref="O3">SUM(IF(tab_invoices[Realizuje]="Prijímateľ",IF(tab_invoices[Aktivita]="Aktivita1",tab_invoices[Nárokovaná suma]-tab_invoices[Neoprávnené výdavky]),0))</f>
        <v>0</v>
      </c>
      <c r="P3" s="417">
        <f t="array" ref="P3">SUM(IF(tab_invoices[Realizuje]="Partner1",IF(tab_invoices[Aktivita]="Aktivita1",tab_invoices[Nárokovaná suma]-tab_invoices[Neoprávnené výdavky]),0))</f>
        <v>0</v>
      </c>
      <c r="Q3" s="417">
        <f t="array" ref="Q3">SUM(IF(tab_invoices[Realizuje]="Partner2",IF(tab_invoices[Aktivita]="Aktivita1",tab_invoices[Nárokovaná suma]-tab_invoices[Neoprávnené výdavky]),0))</f>
        <v>0</v>
      </c>
      <c r="R3" s="417">
        <f t="array" ref="R3">SUM(IF(tab_invoices[Realizuje]="Partner3",IF(tab_invoices[Aktivita]="Aktivita1",tab_invoices[Nárokovaná suma]-tab_invoices[Neoprávnené výdavky]),0))</f>
        <v>0</v>
      </c>
      <c r="S3" s="417">
        <f t="array" ref="S3">SUM(IF(tab_invoices[Realizuje]="Partner4",IF(tab_invoices[Aktivita]="Aktivita1",tab_invoices[Nárokovaná suma]-tab_invoices[Neoprávnené výdavky]),0))</f>
        <v>0</v>
      </c>
      <c r="T3" s="251">
        <f>SUM(tab_distribution[[#This Row],[Aktuálna PSP Prijímateľ]:[Aktuálna PSP Partner4]])</f>
        <v>0</v>
      </c>
      <c r="U3" s="417">
        <f>tab_distribution[[#This Row],[Plán Prijímateľ]]-tab_distribution[[#This Row],[Skutočnosť Prijímateľ]]-tab_distribution[[#This Row],[Aktuálna PSP Prijímateľ]]</f>
        <v>0</v>
      </c>
      <c r="V3" s="417">
        <f>tab_distribution[[#This Row],[Plán Partner1]]-tab_distribution[[#This Row],[Skutočnosť Partner1]]-tab_distribution[[#This Row],[Aktuálna PSP Partner1]]</f>
        <v>0</v>
      </c>
      <c r="W3" s="417">
        <f>tab_distribution[[#This Row],[Plán Partner2]]-tab_distribution[[#This Row],[Skutočnosť Partner2]]-tab_distribution[[#This Row],[Aktuálna PSP Partner2]]</f>
        <v>0</v>
      </c>
      <c r="X3" s="417">
        <f>tab_distribution[[#This Row],[Plán Partner3]]-tab_distribution[[#This Row],[Skutočnosť Partner3]]-tab_distribution[[#This Row],[Aktuálna PSP Partner3]]</f>
        <v>0</v>
      </c>
      <c r="Y3" s="417">
        <f>tab_distribution[[#This Row],[Plán Partner4]]-tab_distribution[[#This Row],[Skutočnosť Partner4]]-tab_distribution[[#This Row],[Aktuálna PSP Partner4]]</f>
        <v>0</v>
      </c>
      <c r="Z3" s="251">
        <f>SUM(tab_distribution[[#This Row],[Zostatok Prijímateľ]:[Zostatok Partner4]])</f>
        <v>0</v>
      </c>
      <c r="AA3" s="367">
        <f>IF(tab_distribution[[#This Row],[Plán Spolu]]=0,0,ROUND(tab_distribution[[#This Row],[Zostatok Spolu]]/tab_distribution[[#This Row],[Plán Spolu]],2))</f>
        <v>0</v>
      </c>
    </row>
    <row r="4" spans="1:27" ht="30" customHeight="1" x14ac:dyDescent="0.25">
      <c r="A4" s="245">
        <v>3</v>
      </c>
      <c r="B4" s="432" t="str">
        <f>IF(Activity2_Name="","",Activity2_Name)</f>
        <v/>
      </c>
      <c r="C4" s="414">
        <f t="array" ref="C4">SUM(IF(tab_budget[Realizuje]="Prijímateľ",IF(tab_budget[Aktivita]="Aktivita2",tab_budget[Celková suma]),0))</f>
        <v>0</v>
      </c>
      <c r="D4" s="414">
        <f t="array" ref="D4">SUM(IF(tab_budget[Realizuje]="Partner1",IF(tab_budget[Aktivita]="Aktivita2",tab_budget[Celková suma]),0))</f>
        <v>0</v>
      </c>
      <c r="E4" s="414">
        <f t="array" ref="E4">SUM(IF(tab_budget[Realizuje]="Partner2",IF(tab_budget[Aktivita]="Aktivita2",tab_budget[Celková suma]),0))</f>
        <v>0</v>
      </c>
      <c r="F4" s="414">
        <f t="array" ref="F4">SUM(IF(tab_budget[Realizuje]="Partner3",IF(tab_budget[Aktivita]="Aktivita2",tab_budget[Celková suma]),0))</f>
        <v>0</v>
      </c>
      <c r="G4" s="414">
        <f t="array" ref="G4">SUM(IF(tab_budget[Realizuje]="Partner4",IF(tab_budget[Aktivita]="Aktivita2",tab_budget[Celková suma]),0))</f>
        <v>0</v>
      </c>
      <c r="H4" s="251">
        <f>SUM(tab_distribution[[#This Row],[Plán Prijímateľ]:[Plán Partner4]])</f>
        <v>0</v>
      </c>
      <c r="I4" s="441">
        <v>0</v>
      </c>
      <c r="J4" s="441">
        <v>0</v>
      </c>
      <c r="K4" s="441">
        <v>0</v>
      </c>
      <c r="L4" s="441">
        <v>0</v>
      </c>
      <c r="M4" s="441">
        <v>0</v>
      </c>
      <c r="N4" s="417">
        <f>SUM(tab_distribution[[#This Row],[Skutočnosť Prijímateľ]:[Skutočnosť Partner4]])</f>
        <v>0</v>
      </c>
      <c r="O4" s="417">
        <f t="array" ref="O4">SUM(IF(tab_invoices[Realizuje]="Prijímateľ",IF(tab_invoices[Aktivita]="Aktivita2",tab_invoices[Nárokovaná suma]-tab_invoices[Neoprávnené výdavky]),0))</f>
        <v>0</v>
      </c>
      <c r="P4" s="417">
        <f t="array" ref="P4">SUM(IF(tab_invoices[Realizuje]="Partner1",IF(tab_invoices[Aktivita]="Aktivita2",tab_invoices[Nárokovaná suma]-tab_invoices[Neoprávnené výdavky]),0))</f>
        <v>0</v>
      </c>
      <c r="Q4" s="417">
        <f t="array" ref="Q4">SUM(IF(tab_invoices[Realizuje]="Partner2",IF(tab_invoices[Aktivita]="Aktivita2",tab_invoices[Nárokovaná suma]-tab_invoices[Neoprávnené výdavky]),0))</f>
        <v>0</v>
      </c>
      <c r="R4" s="417">
        <f t="array" ref="R4">SUM(IF(tab_invoices[Realizuje]="Partner3",IF(tab_invoices[Aktivita]="Aktivita2",tab_invoices[Nárokovaná suma]-tab_invoices[Neoprávnené výdavky]),0))</f>
        <v>0</v>
      </c>
      <c r="S4" s="417">
        <f t="array" ref="S4">SUM(IF(tab_invoices[Realizuje]="Partner4",IF(tab_invoices[Aktivita]="Aktivita2",tab_invoices[Nárokovaná suma]-tab_invoices[Neoprávnené výdavky]),0))</f>
        <v>0</v>
      </c>
      <c r="T4" s="251">
        <f>SUM(tab_distribution[[#This Row],[Aktuálna PSP Prijímateľ]:[Aktuálna PSP Partner4]])</f>
        <v>0</v>
      </c>
      <c r="U4" s="417">
        <f>tab_distribution[[#This Row],[Plán Prijímateľ]]-tab_distribution[[#This Row],[Skutočnosť Prijímateľ]]-tab_distribution[[#This Row],[Aktuálna PSP Prijímateľ]]</f>
        <v>0</v>
      </c>
      <c r="V4" s="417">
        <f>tab_distribution[[#This Row],[Plán Partner1]]-tab_distribution[[#This Row],[Skutočnosť Partner1]]-tab_distribution[[#This Row],[Aktuálna PSP Partner1]]</f>
        <v>0</v>
      </c>
      <c r="W4" s="417">
        <f>tab_distribution[[#This Row],[Plán Partner2]]-tab_distribution[[#This Row],[Skutočnosť Partner2]]-tab_distribution[[#This Row],[Aktuálna PSP Partner2]]</f>
        <v>0</v>
      </c>
      <c r="X4" s="417">
        <f>tab_distribution[[#This Row],[Plán Partner3]]-tab_distribution[[#This Row],[Skutočnosť Partner3]]-tab_distribution[[#This Row],[Aktuálna PSP Partner3]]</f>
        <v>0</v>
      </c>
      <c r="Y4" s="417">
        <f>tab_distribution[[#This Row],[Plán Partner4]]-tab_distribution[[#This Row],[Skutočnosť Partner4]]-tab_distribution[[#This Row],[Aktuálna PSP Partner4]]</f>
        <v>0</v>
      </c>
      <c r="Z4" s="251">
        <f>SUM(tab_distribution[[#This Row],[Zostatok Prijímateľ]:[Zostatok Partner4]])</f>
        <v>0</v>
      </c>
      <c r="AA4" s="367">
        <f>IF(tab_distribution[[#This Row],[Plán Spolu]]=0,0,ROUND(tab_distribution[[#This Row],[Zostatok Spolu]]/tab_distribution[[#This Row],[Plán Spolu]],2))</f>
        <v>0</v>
      </c>
    </row>
    <row r="5" spans="1:27" ht="30" customHeight="1" x14ac:dyDescent="0.25">
      <c r="A5" s="245">
        <v>4</v>
      </c>
      <c r="B5" s="432" t="str">
        <f>IF(Activity3_Name="","",Activity3_Name)</f>
        <v/>
      </c>
      <c r="C5" s="414">
        <f t="array" ref="C5">SUM(IF(tab_budget[Realizuje]="Prijímateľ",IF(tab_budget[Aktivita]="Aktivita3",tab_budget[Celková suma]),0))</f>
        <v>0</v>
      </c>
      <c r="D5" s="414">
        <f t="array" ref="D5">SUM(IF(tab_budget[Realizuje]="Partner1",IF(tab_budget[Aktivita]="Aktivita3",tab_budget[Celková suma]),0))</f>
        <v>0</v>
      </c>
      <c r="E5" s="414">
        <f t="array" ref="E5">SUM(IF(tab_budget[Realizuje]="Partner2",IF(tab_budget[Aktivita]="Aktivita3",tab_budget[Celková suma]),0))</f>
        <v>0</v>
      </c>
      <c r="F5" s="414">
        <f t="array" ref="F5">SUM(IF(tab_budget[Realizuje]="Partner3",IF(tab_budget[Aktivita]="Aktivita3",tab_budget[Celková suma]),0))</f>
        <v>0</v>
      </c>
      <c r="G5" s="414">
        <f t="array" ref="G5">SUM(IF(tab_budget[Realizuje]="Partner4",IF(tab_budget[Aktivita]="Aktivita3",tab_budget[Celková suma]),0))</f>
        <v>0</v>
      </c>
      <c r="H5" s="251">
        <f>SUM(tab_distribution[[#This Row],[Plán Prijímateľ]:[Plán Partner4]])</f>
        <v>0</v>
      </c>
      <c r="I5" s="441">
        <v>0</v>
      </c>
      <c r="J5" s="441">
        <v>0</v>
      </c>
      <c r="K5" s="441">
        <v>0</v>
      </c>
      <c r="L5" s="441">
        <v>0</v>
      </c>
      <c r="M5" s="441">
        <v>0</v>
      </c>
      <c r="N5" s="417">
        <f>SUM(tab_distribution[[#This Row],[Skutočnosť Prijímateľ]:[Skutočnosť Partner4]])</f>
        <v>0</v>
      </c>
      <c r="O5" s="417">
        <f t="array" ref="O5">SUM(IF(tab_invoices[Realizuje]="Prijímateľ",IF(tab_invoices[Aktivita]="Aktivita3",tab_invoices[Nárokovaná suma]-tab_invoices[Neoprávnené výdavky]),0))</f>
        <v>0</v>
      </c>
      <c r="P5" s="417">
        <f t="array" ref="P5">SUM(IF(tab_invoices[Realizuje]="Partner1",IF(tab_invoices[Aktivita]="Aktivita3",tab_invoices[Nárokovaná suma]-tab_invoices[Neoprávnené výdavky]),0))</f>
        <v>0</v>
      </c>
      <c r="Q5" s="417">
        <f t="array" ref="Q5">SUM(IF(tab_invoices[Realizuje]="Partner2",IF(tab_invoices[Aktivita]="Aktivita3",tab_invoices[Nárokovaná suma]-tab_invoices[Neoprávnené výdavky]),0))</f>
        <v>0</v>
      </c>
      <c r="R5" s="417">
        <f t="array" ref="R5">SUM(IF(tab_invoices[Realizuje]="Partner3",IF(tab_invoices[Aktivita]="Aktivita3",tab_invoices[Nárokovaná suma]-tab_invoices[Neoprávnené výdavky]),0))</f>
        <v>0</v>
      </c>
      <c r="S5" s="417">
        <f t="array" ref="S5">SUM(IF(tab_invoices[Realizuje]="Partner4",IF(tab_invoices[Aktivita]="Aktivita3",tab_invoices[Nárokovaná suma]-tab_invoices[Neoprávnené výdavky]),0))</f>
        <v>0</v>
      </c>
      <c r="T5" s="251">
        <f>SUM(tab_distribution[[#This Row],[Aktuálna PSP Prijímateľ]:[Aktuálna PSP Partner4]])</f>
        <v>0</v>
      </c>
      <c r="U5" s="417">
        <f>tab_distribution[[#This Row],[Plán Prijímateľ]]-tab_distribution[[#This Row],[Skutočnosť Prijímateľ]]-tab_distribution[[#This Row],[Aktuálna PSP Prijímateľ]]</f>
        <v>0</v>
      </c>
      <c r="V5" s="417">
        <f>tab_distribution[[#This Row],[Plán Partner1]]-tab_distribution[[#This Row],[Skutočnosť Partner1]]-tab_distribution[[#This Row],[Aktuálna PSP Partner1]]</f>
        <v>0</v>
      </c>
      <c r="W5" s="417">
        <f>tab_distribution[[#This Row],[Plán Partner2]]-tab_distribution[[#This Row],[Skutočnosť Partner2]]-tab_distribution[[#This Row],[Aktuálna PSP Partner2]]</f>
        <v>0</v>
      </c>
      <c r="X5" s="417">
        <f>tab_distribution[[#This Row],[Plán Partner3]]-tab_distribution[[#This Row],[Skutočnosť Partner3]]-tab_distribution[[#This Row],[Aktuálna PSP Partner3]]</f>
        <v>0</v>
      </c>
      <c r="Y5" s="417">
        <f>tab_distribution[[#This Row],[Plán Partner4]]-tab_distribution[[#This Row],[Skutočnosť Partner4]]-tab_distribution[[#This Row],[Aktuálna PSP Partner4]]</f>
        <v>0</v>
      </c>
      <c r="Z5" s="251">
        <f>SUM(tab_distribution[[#This Row],[Zostatok Prijímateľ]:[Zostatok Partner4]])</f>
        <v>0</v>
      </c>
      <c r="AA5" s="367">
        <f>IF(tab_distribution[[#This Row],[Plán Spolu]]=0,0,ROUND(tab_distribution[[#This Row],[Zostatok Spolu]]/tab_distribution[[#This Row],[Plán Spolu]],2))</f>
        <v>0</v>
      </c>
    </row>
    <row r="6" spans="1:27" ht="30" customHeight="1" x14ac:dyDescent="0.25">
      <c r="A6" s="245">
        <v>5</v>
      </c>
      <c r="B6" s="432" t="str">
        <f>IF(Activity4_Name="","",Activity4_Name)</f>
        <v/>
      </c>
      <c r="C6" s="414">
        <f t="array" ref="C6">SUM(IF(tab_budget[Realizuje]="Prijímateľ",IF(tab_budget[Aktivita]="Aktivita4",tab_budget[Celková suma]),0))</f>
        <v>0</v>
      </c>
      <c r="D6" s="414">
        <f t="array" ref="D6">SUM(IF(tab_budget[Realizuje]="Partner1",IF(tab_budget[Aktivita]="Aktivita4",tab_budget[Celková suma]),0))</f>
        <v>0</v>
      </c>
      <c r="E6" s="414">
        <f t="array" ref="E6">SUM(IF(tab_budget[Realizuje]="Partner2",IF(tab_budget[Aktivita]="Aktivita4",tab_budget[Celková suma]),0))</f>
        <v>0</v>
      </c>
      <c r="F6" s="414">
        <f t="array" ref="F6">SUM(IF(tab_budget[Realizuje]="Partner3",IF(tab_budget[Aktivita]="Aktivita4",tab_budget[Celková suma]),0))</f>
        <v>0</v>
      </c>
      <c r="G6" s="414">
        <f t="array" ref="G6">SUM(IF(tab_budget[Realizuje]="Partner4",IF(tab_budget[Aktivita]="Aktivita4",tab_budget[Celková suma]),0))</f>
        <v>0</v>
      </c>
      <c r="H6" s="251">
        <f>SUM(tab_distribution[[#This Row],[Plán Prijímateľ]:[Plán Partner4]])</f>
        <v>0</v>
      </c>
      <c r="I6" s="441">
        <v>0</v>
      </c>
      <c r="J6" s="441">
        <v>0</v>
      </c>
      <c r="K6" s="441">
        <v>0</v>
      </c>
      <c r="L6" s="441">
        <v>0</v>
      </c>
      <c r="M6" s="441">
        <v>0</v>
      </c>
      <c r="N6" s="417">
        <f>SUM(tab_distribution[[#This Row],[Skutočnosť Prijímateľ]:[Skutočnosť Partner4]])</f>
        <v>0</v>
      </c>
      <c r="O6" s="417">
        <f t="array" ref="O6">SUM(IF(tab_invoices[Realizuje]="Prijímateľ",IF(tab_invoices[Aktivita]="Aktivita4",tab_invoices[Nárokovaná suma]-tab_invoices[Neoprávnené výdavky]),0))</f>
        <v>0</v>
      </c>
      <c r="P6" s="417">
        <f t="array" ref="P6">SUM(IF(tab_invoices[Realizuje]="Partner1",IF(tab_invoices[Aktivita]="Aktivita4",tab_invoices[Nárokovaná suma]-tab_invoices[Neoprávnené výdavky]),0))</f>
        <v>0</v>
      </c>
      <c r="Q6" s="417">
        <f t="array" ref="Q6">SUM(IF(tab_invoices[Realizuje]="Partner2",IF(tab_invoices[Aktivita]="Aktivita4",tab_invoices[Nárokovaná suma]-tab_invoices[Neoprávnené výdavky]),0))</f>
        <v>0</v>
      </c>
      <c r="R6" s="417">
        <f t="array" ref="R6">SUM(IF(tab_invoices[Realizuje]="Partner3",IF(tab_invoices[Aktivita]="Aktivita4",tab_invoices[Nárokovaná suma]-tab_invoices[Neoprávnené výdavky]),0))</f>
        <v>0</v>
      </c>
      <c r="S6" s="417">
        <f t="array" ref="S6">SUM(IF(tab_invoices[Realizuje]="Partner4",IF(tab_invoices[Aktivita]="Aktivita4",tab_invoices[Nárokovaná suma]-tab_invoices[Neoprávnené výdavky]),0))</f>
        <v>0</v>
      </c>
      <c r="T6" s="251">
        <f>SUM(tab_distribution[[#This Row],[Aktuálna PSP Prijímateľ]:[Aktuálna PSP Partner4]])</f>
        <v>0</v>
      </c>
      <c r="U6" s="417">
        <f>tab_distribution[[#This Row],[Plán Prijímateľ]]-tab_distribution[[#This Row],[Skutočnosť Prijímateľ]]-tab_distribution[[#This Row],[Aktuálna PSP Prijímateľ]]</f>
        <v>0</v>
      </c>
      <c r="V6" s="417" t="s">
        <v>745</v>
      </c>
      <c r="W6" s="417">
        <f>tab_distribution[[#This Row],[Plán Partner2]]-tab_distribution[[#This Row],[Skutočnosť Partner2]]-tab_distribution[[#This Row],[Aktuálna PSP Partner2]]</f>
        <v>0</v>
      </c>
      <c r="X6" s="417">
        <f>tab_distribution[[#This Row],[Plán Partner3]]-tab_distribution[[#This Row],[Skutočnosť Partner3]]-tab_distribution[[#This Row],[Aktuálna PSP Partner3]]</f>
        <v>0</v>
      </c>
      <c r="Y6" s="417">
        <f>tab_distribution[[#This Row],[Plán Partner4]]-tab_distribution[[#This Row],[Skutočnosť Partner4]]-tab_distribution[[#This Row],[Aktuálna PSP Partner4]]</f>
        <v>0</v>
      </c>
      <c r="Z6" s="251">
        <f>SUM(tab_distribution[[#This Row],[Zostatok Prijímateľ]:[Zostatok Partner4]])</f>
        <v>0</v>
      </c>
      <c r="AA6" s="367">
        <f>IF(tab_distribution[[#This Row],[Plán Spolu]]=0,0,ROUND(tab_distribution[[#This Row],[Zostatok Spolu]]/tab_distribution[[#This Row],[Plán Spolu]],2))</f>
        <v>0</v>
      </c>
    </row>
    <row r="7" spans="1:27" ht="30" customHeight="1" x14ac:dyDescent="0.25">
      <c r="A7" s="245">
        <v>6</v>
      </c>
      <c r="B7" s="432" t="str">
        <f>IF(Activity5_Name="","",Activity5_Name)</f>
        <v/>
      </c>
      <c r="C7" s="414">
        <f t="array" ref="C7">SUM(IF(tab_budget[Realizuje]="Prijímateľ",IF(tab_budget[Aktivita]="Aktivita5",tab_budget[Celková suma]),0))</f>
        <v>0</v>
      </c>
      <c r="D7" s="414">
        <f t="array" ref="D7">SUM(IF(tab_budget[Realizuje]="Partner1",IF(tab_budget[Aktivita]="Aktivita5",tab_budget[Celková suma]),0))</f>
        <v>0</v>
      </c>
      <c r="E7" s="414">
        <f t="array" ref="E7">SUM(IF(tab_budget[Realizuje]="Partner2",IF(tab_budget[Aktivita]="Aktivita5",tab_budget[Celková suma]),0))</f>
        <v>0</v>
      </c>
      <c r="F7" s="414">
        <f t="array" ref="F7">SUM(IF(tab_budget[Realizuje]="Partner3",IF(tab_budget[Aktivita]="Aktivita5",tab_budget[Celková suma]),0))</f>
        <v>0</v>
      </c>
      <c r="G7" s="414">
        <f t="array" ref="G7">SUM(IF(tab_budget[Realizuje]="Partner4",IF(tab_budget[Aktivita]="Aktivita5",tab_budget[Celková suma]),0))</f>
        <v>0</v>
      </c>
      <c r="H7" s="251">
        <f>SUM(tab_distribution[[#This Row],[Plán Prijímateľ]:[Plán Partner4]])</f>
        <v>0</v>
      </c>
      <c r="I7" s="441">
        <v>0</v>
      </c>
      <c r="J7" s="441">
        <v>0</v>
      </c>
      <c r="K7" s="441">
        <v>0</v>
      </c>
      <c r="L7" s="441">
        <v>0</v>
      </c>
      <c r="M7" s="441">
        <v>0</v>
      </c>
      <c r="N7" s="417">
        <f>SUM(tab_distribution[[#This Row],[Skutočnosť Prijímateľ]:[Skutočnosť Partner4]])</f>
        <v>0</v>
      </c>
      <c r="O7" s="417">
        <f t="array" ref="O7">SUM(IF(tab_invoices[Realizuje]="Prijímateľ",IF(tab_invoices[Aktivita]="Aktivita5",tab_invoices[Nárokovaná suma]-tab_invoices[Neoprávnené výdavky]),0))</f>
        <v>0</v>
      </c>
      <c r="P7" s="417">
        <f t="array" ref="P7">SUM(IF(tab_invoices[Realizuje]="Partner1",IF(tab_invoices[Aktivita]="Aktivita5",tab_invoices[Nárokovaná suma]-tab_invoices[Neoprávnené výdavky]),0))</f>
        <v>0</v>
      </c>
      <c r="Q7" s="417">
        <f t="array" ref="Q7">SUM(IF(tab_invoices[Realizuje]="Partner2",IF(tab_invoices[Aktivita]="Aktivita5",tab_invoices[Nárokovaná suma]-tab_invoices[Neoprávnené výdavky]),0))</f>
        <v>0</v>
      </c>
      <c r="R7" s="417">
        <f t="array" ref="R7">SUM(IF(tab_invoices[Realizuje]="Partner3",IF(tab_invoices[Aktivita]="Aktivita5",tab_invoices[Nárokovaná suma]-tab_invoices[Neoprávnené výdavky]),0))</f>
        <v>0</v>
      </c>
      <c r="S7" s="417">
        <f t="array" ref="S7">SUM(IF(tab_invoices[Realizuje]="Partner4",IF(tab_invoices[Aktivita]="Aktivita5",tab_invoices[Nárokovaná suma]-tab_invoices[Neoprávnené výdavky]),0))</f>
        <v>0</v>
      </c>
      <c r="T7" s="251">
        <f>SUM(tab_distribution[[#This Row],[Aktuálna PSP Prijímateľ]:[Aktuálna PSP Partner4]])</f>
        <v>0</v>
      </c>
      <c r="U7" s="417">
        <f>tab_distribution[[#This Row],[Plán Prijímateľ]]-tab_distribution[[#This Row],[Skutočnosť Prijímateľ]]-tab_distribution[[#This Row],[Aktuálna PSP Prijímateľ]]</f>
        <v>0</v>
      </c>
      <c r="V7" s="417">
        <f>tab_distribution[[#This Row],[Plán Partner1]]-tab_distribution[[#This Row],[Skutočnosť Partner1]]-tab_distribution[[#This Row],[Aktuálna PSP Partner1]]</f>
        <v>0</v>
      </c>
      <c r="W7" s="417">
        <f>tab_distribution[[#This Row],[Plán Partner2]]-tab_distribution[[#This Row],[Skutočnosť Partner2]]-tab_distribution[[#This Row],[Aktuálna PSP Partner2]]</f>
        <v>0</v>
      </c>
      <c r="X7" s="417">
        <f>tab_distribution[[#This Row],[Plán Partner3]]-tab_distribution[[#This Row],[Skutočnosť Partner3]]-tab_distribution[[#This Row],[Aktuálna PSP Partner3]]</f>
        <v>0</v>
      </c>
      <c r="Y7" s="417">
        <f>tab_distribution[[#This Row],[Plán Partner4]]-tab_distribution[[#This Row],[Skutočnosť Partner4]]-tab_distribution[[#This Row],[Aktuálna PSP Partner4]]</f>
        <v>0</v>
      </c>
      <c r="Z7" s="251">
        <f>SUM(tab_distribution[[#This Row],[Zostatok Prijímateľ]:[Zostatok Partner4]])</f>
        <v>0</v>
      </c>
      <c r="AA7" s="367">
        <f>IF(tab_distribution[[#This Row],[Plán Spolu]]=0,0,ROUND(tab_distribution[[#This Row],[Zostatok Spolu]]/tab_distribution[[#This Row],[Plán Spolu]],2))</f>
        <v>0</v>
      </c>
    </row>
    <row r="8" spans="1:27" ht="30" customHeight="1" x14ac:dyDescent="0.25">
      <c r="A8" s="245">
        <v>7</v>
      </c>
      <c r="B8" s="432" t="str">
        <f>IF(Activity6_Name="","",Activity6_Name)</f>
        <v/>
      </c>
      <c r="C8" s="414">
        <f t="array" ref="C8">SUM(IF(tab_budget[Realizuje]="Prijímateľ",IF(tab_budget[Aktivita]="Aktivita6",tab_budget[Celková suma]),0))</f>
        <v>0</v>
      </c>
      <c r="D8" s="414">
        <f t="array" ref="D8">SUM(IF(tab_budget[Realizuje]="Partner1",IF(tab_budget[Aktivita]="Aktivita6",tab_budget[Celková suma]),0))</f>
        <v>0</v>
      </c>
      <c r="E8" s="414">
        <f t="array" ref="E8">SUM(IF(tab_budget[Realizuje]="Partner2",IF(tab_budget[Aktivita]="Aktivita6",tab_budget[Celková suma]),0))</f>
        <v>0</v>
      </c>
      <c r="F8" s="414">
        <f t="array" ref="F8">SUM(IF(tab_budget[Realizuje]="Partner3",IF(tab_budget[Aktivita]="Aktivita6",tab_budget[Celková suma]),0))</f>
        <v>0</v>
      </c>
      <c r="G8" s="414">
        <f t="array" ref="G8">SUM(IF(tab_budget[Realizuje]="Partner4",IF(tab_budget[Aktivita]="Aktivita6",tab_budget[Celková suma]),0))</f>
        <v>0</v>
      </c>
      <c r="H8" s="251">
        <f>SUM(tab_distribution[[#This Row],[Plán Prijímateľ]:[Plán Partner4]])</f>
        <v>0</v>
      </c>
      <c r="I8" s="441">
        <v>0</v>
      </c>
      <c r="J8" s="441">
        <v>0</v>
      </c>
      <c r="K8" s="441">
        <v>0</v>
      </c>
      <c r="L8" s="441">
        <v>0</v>
      </c>
      <c r="M8" s="441">
        <v>0</v>
      </c>
      <c r="N8" s="417">
        <f>SUM(tab_distribution[[#This Row],[Skutočnosť Prijímateľ]:[Skutočnosť Partner4]])</f>
        <v>0</v>
      </c>
      <c r="O8" s="417">
        <f t="array" ref="O8">SUM(IF(tab_invoices[Realizuje]="Prijímateľ",IF(tab_invoices[Aktivita]="Aktivita6",tab_invoices[Nárokovaná suma]-tab_invoices[Neoprávnené výdavky]),0))</f>
        <v>0</v>
      </c>
      <c r="P8" s="417">
        <f t="array" ref="P8">SUM(IF(tab_invoices[Realizuje]="Partner1",IF(tab_invoices[Aktivita]="Aktivita6",tab_invoices[Nárokovaná suma]-tab_invoices[Neoprávnené výdavky]),0))</f>
        <v>0</v>
      </c>
      <c r="Q8" s="417">
        <f t="array" ref="Q8">SUM(IF(tab_invoices[Realizuje]="Partner2",IF(tab_invoices[Aktivita]="Aktivita6",tab_invoices[Nárokovaná suma]-tab_invoices[Neoprávnené výdavky]),0))</f>
        <v>0</v>
      </c>
      <c r="R8" s="417">
        <f t="array" ref="R8">SUM(IF(tab_invoices[Realizuje]="Partner3",IF(tab_invoices[Aktivita]="Aktivita6",tab_invoices[Nárokovaná suma]-tab_invoices[Neoprávnené výdavky]),0))</f>
        <v>0</v>
      </c>
      <c r="S8" s="417">
        <f t="array" ref="S8">SUM(IF(tab_invoices[Realizuje]="Partner4",IF(tab_invoices[Aktivita]="Aktivita6",tab_invoices[Nárokovaná suma]-tab_invoices[Neoprávnené výdavky]),0))</f>
        <v>0</v>
      </c>
      <c r="T8" s="251">
        <f>SUM(tab_distribution[[#This Row],[Aktuálna PSP Prijímateľ]:[Aktuálna PSP Partner4]])</f>
        <v>0</v>
      </c>
      <c r="U8" s="417">
        <f>tab_distribution[[#This Row],[Plán Prijímateľ]]-tab_distribution[[#This Row],[Skutočnosť Prijímateľ]]-tab_distribution[[#This Row],[Aktuálna PSP Prijímateľ]]</f>
        <v>0</v>
      </c>
      <c r="V8" s="417">
        <f>tab_distribution[[#This Row],[Plán Partner1]]-tab_distribution[[#This Row],[Skutočnosť Partner1]]-tab_distribution[[#This Row],[Aktuálna PSP Partner1]]</f>
        <v>0</v>
      </c>
      <c r="W8" s="417">
        <f>tab_distribution[[#This Row],[Plán Partner2]]-tab_distribution[[#This Row],[Skutočnosť Partner2]]-tab_distribution[[#This Row],[Aktuálna PSP Partner2]]</f>
        <v>0</v>
      </c>
      <c r="X8" s="417">
        <f>tab_distribution[[#This Row],[Plán Partner3]]-tab_distribution[[#This Row],[Skutočnosť Partner3]]-tab_distribution[[#This Row],[Aktuálna PSP Partner3]]</f>
        <v>0</v>
      </c>
      <c r="Y8" s="417">
        <f>tab_distribution[[#This Row],[Plán Partner4]]-tab_distribution[[#This Row],[Skutočnosť Partner4]]-tab_distribution[[#This Row],[Aktuálna PSP Partner4]]</f>
        <v>0</v>
      </c>
      <c r="Z8" s="251">
        <f>SUM(tab_distribution[[#This Row],[Zostatok Prijímateľ]:[Zostatok Partner4]])</f>
        <v>0</v>
      </c>
      <c r="AA8" s="367">
        <f>IF(tab_distribution[[#This Row],[Plán Spolu]]=0,0,ROUND(tab_distribution[[#This Row],[Zostatok Spolu]]/tab_distribution[[#This Row],[Plán Spolu]],2))</f>
        <v>0</v>
      </c>
    </row>
    <row r="9" spans="1:27" ht="30" customHeight="1" x14ac:dyDescent="0.25">
      <c r="A9" s="245">
        <v>8</v>
      </c>
      <c r="B9" s="432" t="str">
        <f>IF(Activity7_Name="","",Activity7_Name)</f>
        <v/>
      </c>
      <c r="C9" s="414">
        <f t="array" ref="C9">SUM(IF(tab_budget[Realizuje]="Prijímateľ",IF(tab_budget[Aktivita]="Aktivita7",tab_budget[Celková suma]),0))</f>
        <v>0</v>
      </c>
      <c r="D9" s="414">
        <f t="array" ref="D9">SUM(IF(tab_budget[Realizuje]="Partner1",IF(tab_budget[Aktivita]="Aktivita7",tab_budget[Celková suma]),0))</f>
        <v>0</v>
      </c>
      <c r="E9" s="414">
        <f t="array" ref="E9">SUM(IF(tab_budget[Realizuje]="Partner2",IF(tab_budget[Aktivita]="Aktivita7",tab_budget[Celková suma]),0))</f>
        <v>0</v>
      </c>
      <c r="F9" s="414">
        <f t="array" ref="F9">SUM(IF(tab_budget[Realizuje]="Partner3",IF(tab_budget[Aktivita]="Aktivita7",tab_budget[Celková suma]),0))</f>
        <v>0</v>
      </c>
      <c r="G9" s="414">
        <f t="array" ref="G9">SUM(IF(tab_budget[Realizuje]="Partner4",IF(tab_budget[Aktivita]="Aktivita7",tab_budget[Celková suma]),0))</f>
        <v>0</v>
      </c>
      <c r="H9" s="251">
        <f>SUM(tab_distribution[[#This Row],[Plán Prijímateľ]:[Plán Partner4]])</f>
        <v>0</v>
      </c>
      <c r="I9" s="441">
        <v>0</v>
      </c>
      <c r="J9" s="441">
        <v>0</v>
      </c>
      <c r="K9" s="441">
        <v>0</v>
      </c>
      <c r="L9" s="441">
        <v>0</v>
      </c>
      <c r="M9" s="441">
        <v>0</v>
      </c>
      <c r="N9" s="417">
        <f>SUM(tab_distribution[[#This Row],[Skutočnosť Prijímateľ]:[Skutočnosť Partner4]])</f>
        <v>0</v>
      </c>
      <c r="O9" s="417">
        <f t="array" ref="O9">SUM(IF(tab_invoices[Realizuje]="Prijímateľ",IF(tab_invoices[Aktivita]="Aktivita7",tab_invoices[Nárokovaná suma]-tab_invoices[Neoprávnené výdavky]),0))</f>
        <v>0</v>
      </c>
      <c r="P9" s="417">
        <f t="array" ref="P9">SUM(IF(tab_invoices[Realizuje]="Partner1",IF(tab_invoices[Aktivita]="Aktivita7",tab_invoices[Nárokovaná suma]-tab_invoices[Neoprávnené výdavky]),0))</f>
        <v>0</v>
      </c>
      <c r="Q9" s="417">
        <f t="array" ref="Q9">SUM(IF(tab_invoices[Realizuje]="Partner2",IF(tab_invoices[Aktivita]="Aktivita7",tab_invoices[Nárokovaná suma]-tab_invoices[Neoprávnené výdavky]),0))</f>
        <v>0</v>
      </c>
      <c r="R9" s="417">
        <f t="array" ref="R9">SUM(IF(tab_invoices[Realizuje]="Partner3",IF(tab_invoices[Aktivita]="Aktivita7",tab_invoices[Nárokovaná suma]-tab_invoices[Neoprávnené výdavky]),0))</f>
        <v>0</v>
      </c>
      <c r="S9" s="417">
        <f t="array" ref="S9">SUM(IF(tab_invoices[Realizuje]="Partner4",IF(tab_invoices[Aktivita]="Aktivita7",tab_invoices[Nárokovaná suma]-tab_invoices[Neoprávnené výdavky]),0))</f>
        <v>0</v>
      </c>
      <c r="T9" s="251">
        <f>SUM(tab_distribution[[#This Row],[Aktuálna PSP Prijímateľ]:[Aktuálna PSP Partner4]])</f>
        <v>0</v>
      </c>
      <c r="U9" s="417">
        <f>tab_distribution[[#This Row],[Plán Prijímateľ]]-tab_distribution[[#This Row],[Skutočnosť Prijímateľ]]-tab_distribution[[#This Row],[Aktuálna PSP Prijímateľ]]</f>
        <v>0</v>
      </c>
      <c r="V9" s="417">
        <f>tab_distribution[[#This Row],[Plán Partner1]]-tab_distribution[[#This Row],[Skutočnosť Partner1]]-tab_distribution[[#This Row],[Aktuálna PSP Partner1]]</f>
        <v>0</v>
      </c>
      <c r="W9" s="417">
        <f>tab_distribution[[#This Row],[Plán Partner2]]-tab_distribution[[#This Row],[Skutočnosť Partner2]]-tab_distribution[[#This Row],[Aktuálna PSP Partner2]]</f>
        <v>0</v>
      </c>
      <c r="X9" s="417">
        <f>tab_distribution[[#This Row],[Plán Partner3]]-tab_distribution[[#This Row],[Skutočnosť Partner3]]-tab_distribution[[#This Row],[Aktuálna PSP Partner3]]</f>
        <v>0</v>
      </c>
      <c r="Y9" s="417">
        <f>tab_distribution[[#This Row],[Plán Partner4]]-tab_distribution[[#This Row],[Skutočnosť Partner4]]-tab_distribution[[#This Row],[Aktuálna PSP Partner4]]</f>
        <v>0</v>
      </c>
      <c r="Z9" s="251">
        <f>SUM(tab_distribution[[#This Row],[Zostatok Prijímateľ]:[Zostatok Partner4]])</f>
        <v>0</v>
      </c>
      <c r="AA9" s="367">
        <f>IF(tab_distribution[[#This Row],[Plán Spolu]]=0,0,ROUND(tab_distribution[[#This Row],[Zostatok Spolu]]/tab_distribution[[#This Row],[Plán Spolu]],2))</f>
        <v>0</v>
      </c>
    </row>
    <row r="10" spans="1:27" ht="30" customHeight="1" x14ac:dyDescent="0.25">
      <c r="A10" s="245">
        <v>9</v>
      </c>
      <c r="B10" s="432" t="str">
        <f>IF(Activity8_Name="","",Activity8_Name)</f>
        <v/>
      </c>
      <c r="C10" s="414">
        <f t="array" ref="C10">SUM(IF(tab_budget[Realizuje]="Prijímateľ",IF(tab_budget[Aktivita]="Aktivita8",tab_budget[Celková suma]),0))</f>
        <v>0</v>
      </c>
      <c r="D10" s="414">
        <f t="array" ref="D10">SUM(IF(tab_budget[Realizuje]="Partner1",IF(tab_budget[Aktivita]="Aktivita8",tab_budget[Celková suma]),0))</f>
        <v>0</v>
      </c>
      <c r="E10" s="414">
        <f t="array" ref="E10">SUM(IF(tab_budget[Realizuje]="Partner2",IF(tab_budget[Aktivita]="Aktivita8",tab_budget[Celková suma]),0))</f>
        <v>0</v>
      </c>
      <c r="F10" s="414">
        <f t="array" ref="F10">SUM(IF(tab_budget[Realizuje]="Partner3",IF(tab_budget[Aktivita]="Aktivita8",tab_budget[Celková suma]),0))</f>
        <v>0</v>
      </c>
      <c r="G10" s="414">
        <f t="array" ref="G10">SUM(IF(tab_budget[Realizuje]="Partner4",IF(tab_budget[Aktivita]="Aktivita8",tab_budget[Celková suma]),0))</f>
        <v>0</v>
      </c>
      <c r="H10" s="251">
        <f>SUM(tab_distribution[[#This Row],[Plán Prijímateľ]:[Plán Partner4]])</f>
        <v>0</v>
      </c>
      <c r="I10" s="441">
        <v>0</v>
      </c>
      <c r="J10" s="441">
        <v>0</v>
      </c>
      <c r="K10" s="441">
        <v>0</v>
      </c>
      <c r="L10" s="441">
        <v>0</v>
      </c>
      <c r="M10" s="441">
        <v>0</v>
      </c>
      <c r="N10" s="417">
        <f>SUM(tab_distribution[[#This Row],[Skutočnosť Prijímateľ]:[Skutočnosť Partner4]])</f>
        <v>0</v>
      </c>
      <c r="O10" s="417">
        <f t="array" ref="O10">SUM(IF(tab_invoices[Realizuje]="Prijímateľ",IF(tab_invoices[Aktivita]="Aktivita8",tab_invoices[Nárokovaná suma]-tab_invoices[Neoprávnené výdavky]),0))</f>
        <v>0</v>
      </c>
      <c r="P10" s="417">
        <f t="array" ref="P10">SUM(IF(tab_invoices[Realizuje]="Partner1",IF(tab_invoices[Aktivita]="Aktivita8",tab_invoices[Nárokovaná suma]-tab_invoices[Neoprávnené výdavky]),0))</f>
        <v>0</v>
      </c>
      <c r="Q10" s="417">
        <f t="array" ref="Q10">SUM(IF(tab_invoices[Realizuje]="Partner2",IF(tab_invoices[Aktivita]="Aktivita8",tab_invoices[Nárokovaná suma]-tab_invoices[Neoprávnené výdavky]),0))</f>
        <v>0</v>
      </c>
      <c r="R10" s="417">
        <f t="array" ref="R10">SUM(IF(tab_invoices[Realizuje]="Partner3",IF(tab_invoices[Aktivita]="Aktivita8",tab_invoices[Nárokovaná suma]-tab_invoices[Neoprávnené výdavky]),0))</f>
        <v>0</v>
      </c>
      <c r="S10" s="417">
        <f t="array" ref="S10">SUM(IF(tab_invoices[Realizuje]="Partner4",IF(tab_invoices[Aktivita]="Aktivita8",tab_invoices[Nárokovaná suma]-tab_invoices[Neoprávnené výdavky]),0))</f>
        <v>0</v>
      </c>
      <c r="T10" s="251">
        <f>SUM(tab_distribution[[#This Row],[Aktuálna PSP Prijímateľ]:[Aktuálna PSP Partner4]])</f>
        <v>0</v>
      </c>
      <c r="U10" s="417">
        <f>tab_distribution[[#This Row],[Plán Prijímateľ]]-tab_distribution[[#This Row],[Skutočnosť Prijímateľ]]-tab_distribution[[#This Row],[Aktuálna PSP Prijímateľ]]</f>
        <v>0</v>
      </c>
      <c r="V10" s="417">
        <f>tab_distribution[[#This Row],[Plán Partner1]]-tab_distribution[[#This Row],[Skutočnosť Partner1]]-tab_distribution[[#This Row],[Aktuálna PSP Partner1]]</f>
        <v>0</v>
      </c>
      <c r="W10" s="417">
        <f>tab_distribution[[#This Row],[Plán Partner2]]-tab_distribution[[#This Row],[Skutočnosť Partner2]]-tab_distribution[[#This Row],[Aktuálna PSP Partner2]]</f>
        <v>0</v>
      </c>
      <c r="X10" s="417">
        <f>tab_distribution[[#This Row],[Plán Partner3]]-tab_distribution[[#This Row],[Skutočnosť Partner3]]-tab_distribution[[#This Row],[Aktuálna PSP Partner3]]</f>
        <v>0</v>
      </c>
      <c r="Y10" s="417">
        <f>tab_distribution[[#This Row],[Plán Partner4]]-tab_distribution[[#This Row],[Skutočnosť Partner4]]-tab_distribution[[#This Row],[Aktuálna PSP Partner4]]</f>
        <v>0</v>
      </c>
      <c r="Z10" s="251">
        <f>SUM(tab_distribution[[#This Row],[Zostatok Prijímateľ]:[Zostatok Partner4]])</f>
        <v>0</v>
      </c>
      <c r="AA10" s="367">
        <f>IF(tab_distribution[[#This Row],[Plán Spolu]]=0,0,ROUND(tab_distribution[[#This Row],[Zostatok Spolu]]/tab_distribution[[#This Row],[Plán Spolu]],2))</f>
        <v>0</v>
      </c>
    </row>
    <row r="11" spans="1:27" ht="30" customHeight="1" x14ac:dyDescent="0.25">
      <c r="A11" s="245"/>
      <c r="B11" s="245"/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245"/>
      <c r="Q11" s="245"/>
      <c r="R11" s="245"/>
      <c r="S11" s="245"/>
      <c r="T11" s="245">
        <f>SUBTOTAL(109,T2:T10)</f>
        <v>0</v>
      </c>
      <c r="U11" s="245"/>
      <c r="V11" s="245"/>
      <c r="W11" s="245"/>
      <c r="X11" s="245"/>
      <c r="Y11" s="245"/>
      <c r="Z11" s="245"/>
      <c r="AA11" s="252"/>
    </row>
    <row r="12" spans="1:27" ht="30" customHeight="1" x14ac:dyDescent="0.25">
      <c r="A12" s="245"/>
      <c r="B12" s="245"/>
      <c r="C12" s="245"/>
      <c r="D12" s="245"/>
      <c r="E12" s="245"/>
      <c r="F12" s="245"/>
      <c r="G12" s="245"/>
      <c r="H12" s="245"/>
      <c r="I12" s="245"/>
      <c r="J12" s="245"/>
      <c r="K12" s="245"/>
      <c r="L12" s="245"/>
      <c r="M12" s="245"/>
      <c r="N12" s="245"/>
      <c r="O12" s="245"/>
      <c r="P12" s="245"/>
      <c r="Q12" s="245"/>
      <c r="R12" s="245"/>
      <c r="S12" s="245"/>
      <c r="T12" s="245"/>
      <c r="U12" s="245"/>
      <c r="V12" s="245"/>
      <c r="W12" s="245"/>
      <c r="X12" s="245"/>
      <c r="Y12" s="245"/>
      <c r="Z12" s="245"/>
      <c r="AA12" s="252"/>
    </row>
    <row r="13" spans="1:27" ht="30" customHeight="1" x14ac:dyDescent="0.25">
      <c r="A13" s="245"/>
      <c r="B13" s="245"/>
      <c r="C13" s="245"/>
      <c r="D13" s="245"/>
      <c r="E13" s="245"/>
      <c r="F13" s="245"/>
      <c r="G13" s="245"/>
      <c r="H13" s="245"/>
      <c r="I13" s="245"/>
      <c r="J13" s="245"/>
      <c r="K13" s="245"/>
      <c r="L13" s="245"/>
      <c r="M13" s="245"/>
      <c r="N13" s="245"/>
      <c r="O13" s="245"/>
      <c r="P13" s="245"/>
      <c r="Q13" s="245"/>
      <c r="R13" s="245"/>
      <c r="S13" s="245"/>
      <c r="T13" s="245"/>
      <c r="U13" s="245"/>
      <c r="V13" s="245"/>
      <c r="W13" s="245"/>
      <c r="X13" s="245"/>
      <c r="Y13" s="245"/>
      <c r="Z13" s="245"/>
      <c r="AA13" s="252"/>
    </row>
    <row r="14" spans="1:27" ht="30" customHeight="1" x14ac:dyDescent="0.25">
      <c r="A14" s="245"/>
      <c r="B14" s="245"/>
      <c r="C14" s="245"/>
      <c r="D14" s="245"/>
      <c r="E14" s="245"/>
      <c r="F14" s="245"/>
      <c r="G14" s="245"/>
      <c r="H14" s="245"/>
      <c r="I14" s="245"/>
      <c r="J14" s="245"/>
      <c r="K14" s="245"/>
      <c r="L14" s="245"/>
      <c r="M14" s="245"/>
      <c r="N14" s="245"/>
      <c r="O14" s="245"/>
      <c r="P14" s="245"/>
      <c r="Q14" s="245"/>
      <c r="R14" s="245"/>
      <c r="S14" s="245"/>
      <c r="T14" s="245"/>
      <c r="U14" s="245"/>
      <c r="V14" s="245"/>
      <c r="W14" s="245"/>
      <c r="X14" s="245"/>
      <c r="Y14" s="245"/>
      <c r="Z14" s="245"/>
      <c r="AA14" s="252"/>
    </row>
    <row r="15" spans="1:27" ht="30" customHeight="1" x14ac:dyDescent="0.25">
      <c r="A15" s="245"/>
      <c r="B15" s="245"/>
      <c r="C15" s="245"/>
      <c r="D15" s="245"/>
      <c r="E15" s="245"/>
      <c r="F15" s="245"/>
      <c r="G15" s="245"/>
      <c r="H15" s="245"/>
      <c r="I15" s="245"/>
      <c r="J15" s="245"/>
      <c r="K15" s="245"/>
      <c r="L15" s="245"/>
      <c r="M15" s="245"/>
      <c r="N15" s="245"/>
      <c r="O15" s="245"/>
      <c r="P15" s="245"/>
      <c r="Q15" s="245"/>
      <c r="R15" s="245"/>
      <c r="S15" s="245"/>
      <c r="T15" s="245"/>
      <c r="U15" s="245"/>
      <c r="V15" s="245"/>
      <c r="W15" s="245"/>
      <c r="X15" s="245"/>
      <c r="Y15" s="245"/>
      <c r="Z15" s="245"/>
      <c r="AA15" s="252"/>
    </row>
    <row r="16" spans="1:27" ht="30" customHeight="1" x14ac:dyDescent="0.25">
      <c r="A16" s="245"/>
      <c r="B16" s="245"/>
      <c r="C16" s="245"/>
      <c r="D16" s="245"/>
      <c r="E16" s="245"/>
      <c r="F16" s="245"/>
      <c r="G16" s="245"/>
      <c r="H16" s="245"/>
      <c r="I16" s="245"/>
      <c r="J16" s="245"/>
      <c r="K16" s="245"/>
      <c r="L16" s="245"/>
      <c r="M16" s="245"/>
      <c r="N16" s="245"/>
      <c r="O16" s="245"/>
      <c r="P16" s="245"/>
      <c r="Q16" s="245"/>
      <c r="R16" s="245"/>
      <c r="S16" s="245"/>
      <c r="T16" s="245"/>
      <c r="U16" s="245"/>
      <c r="V16" s="245"/>
      <c r="W16" s="245"/>
      <c r="X16" s="245"/>
      <c r="Y16" s="245"/>
      <c r="Z16" s="245"/>
      <c r="AA16" s="252"/>
    </row>
    <row r="17" spans="1:27" ht="30" customHeight="1" x14ac:dyDescent="0.25">
      <c r="A17" s="245"/>
      <c r="B17" s="245"/>
      <c r="C17" s="245"/>
      <c r="D17" s="245"/>
      <c r="E17" s="245"/>
      <c r="F17" s="245"/>
      <c r="G17" s="245"/>
      <c r="H17" s="245"/>
      <c r="I17" s="245"/>
      <c r="J17" s="245"/>
      <c r="K17" s="245"/>
      <c r="L17" s="245"/>
      <c r="M17" s="245"/>
      <c r="N17" s="245"/>
      <c r="O17" s="245"/>
      <c r="P17" s="245"/>
      <c r="Q17" s="245"/>
      <c r="R17" s="245"/>
      <c r="S17" s="245"/>
      <c r="T17" s="245"/>
      <c r="U17" s="245"/>
      <c r="V17" s="245"/>
      <c r="W17" s="245"/>
      <c r="X17" s="245"/>
      <c r="Y17" s="245"/>
      <c r="Z17" s="245"/>
      <c r="AA17" s="252"/>
    </row>
    <row r="18" spans="1:27" ht="30" customHeight="1" x14ac:dyDescent="0.25">
      <c r="A18" s="245"/>
      <c r="B18" s="245"/>
      <c r="C18" s="245"/>
      <c r="D18" s="245"/>
      <c r="E18" s="245"/>
      <c r="F18" s="245"/>
      <c r="G18" s="245"/>
      <c r="H18" s="245"/>
      <c r="I18" s="245"/>
      <c r="J18" s="245"/>
      <c r="K18" s="245"/>
      <c r="L18" s="245"/>
      <c r="M18" s="245"/>
      <c r="N18" s="245"/>
      <c r="O18" s="245"/>
      <c r="P18" s="245"/>
      <c r="Q18" s="245"/>
      <c r="R18" s="245"/>
      <c r="S18" s="245"/>
      <c r="T18" s="245"/>
      <c r="U18" s="245"/>
      <c r="V18" s="245"/>
      <c r="W18" s="245"/>
      <c r="X18" s="245"/>
      <c r="Y18" s="245"/>
      <c r="Z18" s="245"/>
      <c r="AA18" s="252"/>
    </row>
    <row r="19" spans="1:27" ht="30" customHeight="1" x14ac:dyDescent="0.25">
      <c r="A19" s="245"/>
      <c r="B19" s="245"/>
      <c r="C19" s="245"/>
      <c r="D19" s="245"/>
      <c r="E19" s="245"/>
      <c r="F19" s="245"/>
      <c r="G19" s="245"/>
      <c r="H19" s="245"/>
      <c r="I19" s="245"/>
      <c r="J19" s="245"/>
      <c r="K19" s="245"/>
      <c r="L19" s="245"/>
      <c r="M19" s="245"/>
      <c r="N19" s="245"/>
      <c r="O19" s="245"/>
      <c r="P19" s="245"/>
      <c r="Q19" s="245"/>
      <c r="R19" s="245"/>
      <c r="S19" s="245"/>
      <c r="T19" s="245"/>
      <c r="U19" s="245"/>
      <c r="V19" s="245"/>
      <c r="W19" s="245"/>
      <c r="X19" s="245"/>
      <c r="Y19" s="245"/>
      <c r="Z19" s="245"/>
      <c r="AA19" s="252"/>
    </row>
    <row r="20" spans="1:27" ht="30" customHeight="1" x14ac:dyDescent="0.25">
      <c r="A20" s="245"/>
      <c r="B20" s="245"/>
      <c r="C20" s="245"/>
      <c r="D20" s="245"/>
      <c r="E20" s="245"/>
      <c r="F20" s="245"/>
      <c r="G20" s="245"/>
      <c r="H20" s="245"/>
      <c r="I20" s="245"/>
      <c r="J20" s="245"/>
      <c r="K20" s="245"/>
      <c r="L20" s="245"/>
      <c r="M20" s="245"/>
      <c r="N20" s="245"/>
      <c r="O20" s="245"/>
      <c r="P20" s="245"/>
      <c r="Q20" s="245"/>
      <c r="R20" s="245"/>
      <c r="S20" s="245"/>
      <c r="T20" s="245"/>
      <c r="U20" s="245"/>
      <c r="V20" s="245"/>
      <c r="W20" s="245"/>
      <c r="X20" s="245"/>
      <c r="Y20" s="245"/>
      <c r="Z20" s="245"/>
      <c r="AA20" s="252"/>
    </row>
    <row r="21" spans="1:27" ht="30" customHeight="1" x14ac:dyDescent="0.25">
      <c r="A21" s="245"/>
      <c r="B21" s="245"/>
      <c r="C21" s="245"/>
      <c r="D21" s="245"/>
      <c r="E21" s="245"/>
      <c r="F21" s="245"/>
      <c r="G21" s="245"/>
      <c r="H21" s="245"/>
      <c r="I21" s="245"/>
      <c r="J21" s="245"/>
      <c r="K21" s="245"/>
      <c r="L21" s="245"/>
      <c r="M21" s="245"/>
      <c r="N21" s="245"/>
      <c r="O21" s="245"/>
      <c r="P21" s="245"/>
      <c r="Q21" s="245"/>
      <c r="R21" s="245"/>
      <c r="S21" s="245"/>
      <c r="T21" s="245"/>
      <c r="U21" s="245"/>
      <c r="V21" s="245"/>
      <c r="W21" s="245"/>
      <c r="X21" s="245"/>
      <c r="Y21" s="245"/>
      <c r="Z21" s="245"/>
      <c r="AA21" s="252"/>
    </row>
    <row r="22" spans="1:27" ht="30" customHeight="1" x14ac:dyDescent="0.25">
      <c r="A22" s="245"/>
      <c r="B22" s="245"/>
      <c r="C22" s="245"/>
      <c r="D22" s="245"/>
      <c r="E22" s="245"/>
      <c r="F22" s="245"/>
      <c r="G22" s="245"/>
      <c r="H22" s="245"/>
      <c r="I22" s="245"/>
      <c r="J22" s="245"/>
      <c r="K22" s="245"/>
      <c r="L22" s="245"/>
      <c r="M22" s="245"/>
      <c r="N22" s="245"/>
      <c r="O22" s="245"/>
      <c r="P22" s="245"/>
      <c r="Q22" s="245"/>
      <c r="R22" s="245"/>
      <c r="S22" s="245"/>
      <c r="T22" s="245"/>
      <c r="U22" s="245"/>
      <c r="V22" s="245"/>
      <c r="W22" s="245"/>
      <c r="X22" s="245"/>
      <c r="Y22" s="245"/>
      <c r="Z22" s="245"/>
      <c r="AA22" s="252"/>
    </row>
    <row r="23" spans="1:27" ht="30" customHeight="1" x14ac:dyDescent="0.25">
      <c r="A23" s="245"/>
      <c r="B23" s="245"/>
      <c r="C23" s="245"/>
      <c r="D23" s="245"/>
      <c r="E23" s="245"/>
      <c r="F23" s="245"/>
      <c r="G23" s="245"/>
      <c r="H23" s="245"/>
      <c r="I23" s="245"/>
      <c r="J23" s="245"/>
      <c r="K23" s="245"/>
      <c r="L23" s="245"/>
      <c r="M23" s="245"/>
      <c r="N23" s="245"/>
      <c r="O23" s="245"/>
      <c r="P23" s="245"/>
      <c r="Q23" s="245"/>
      <c r="R23" s="245"/>
      <c r="S23" s="245"/>
      <c r="T23" s="245"/>
      <c r="U23" s="245"/>
      <c r="V23" s="245"/>
      <c r="W23" s="245"/>
      <c r="X23" s="245"/>
      <c r="Y23" s="245"/>
      <c r="Z23" s="245"/>
      <c r="AA23" s="252"/>
    </row>
    <row r="24" spans="1:27" ht="30" customHeight="1" x14ac:dyDescent="0.25">
      <c r="A24" s="245"/>
      <c r="B24" s="245"/>
      <c r="C24" s="245"/>
      <c r="D24" s="245"/>
      <c r="E24" s="245"/>
      <c r="F24" s="245"/>
      <c r="G24" s="245"/>
      <c r="H24" s="245"/>
      <c r="I24" s="245"/>
      <c r="J24" s="245"/>
      <c r="K24" s="245"/>
      <c r="L24" s="245"/>
      <c r="M24" s="245"/>
      <c r="N24" s="245"/>
      <c r="O24" s="245"/>
      <c r="P24" s="245"/>
      <c r="Q24" s="245"/>
      <c r="R24" s="245"/>
      <c r="S24" s="245"/>
      <c r="T24" s="245"/>
      <c r="U24" s="245"/>
      <c r="V24" s="245"/>
      <c r="W24" s="245"/>
      <c r="X24" s="245"/>
      <c r="Y24" s="245"/>
      <c r="Z24" s="245"/>
      <c r="AA24" s="252"/>
    </row>
    <row r="25" spans="1:27" ht="30" customHeight="1" x14ac:dyDescent="0.25">
      <c r="A25" s="245"/>
      <c r="B25" s="245"/>
      <c r="C25" s="245"/>
      <c r="D25" s="245"/>
      <c r="E25" s="245"/>
      <c r="F25" s="245"/>
      <c r="G25" s="245"/>
      <c r="H25" s="245"/>
      <c r="I25" s="245"/>
      <c r="J25" s="245"/>
      <c r="K25" s="245"/>
      <c r="L25" s="245"/>
      <c r="M25" s="245"/>
      <c r="N25" s="245"/>
      <c r="O25" s="245"/>
      <c r="P25" s="245"/>
      <c r="Q25" s="245"/>
      <c r="R25" s="245"/>
      <c r="S25" s="245"/>
      <c r="T25" s="245"/>
      <c r="U25" s="245"/>
      <c r="V25" s="245"/>
      <c r="W25" s="245"/>
      <c r="X25" s="245"/>
      <c r="Y25" s="245"/>
      <c r="Z25" s="245"/>
      <c r="AA25" s="252"/>
    </row>
    <row r="26" spans="1:27" ht="30" customHeight="1" x14ac:dyDescent="0.25">
      <c r="A26" s="245"/>
      <c r="B26" s="245"/>
      <c r="C26" s="245"/>
      <c r="D26" s="245"/>
      <c r="E26" s="245"/>
      <c r="F26" s="245"/>
      <c r="G26" s="245"/>
      <c r="H26" s="245"/>
      <c r="I26" s="245"/>
      <c r="J26" s="245"/>
      <c r="K26" s="245"/>
      <c r="L26" s="245"/>
      <c r="M26" s="245"/>
      <c r="N26" s="245"/>
      <c r="O26" s="245"/>
      <c r="P26" s="245"/>
      <c r="Q26" s="245"/>
      <c r="R26" s="245"/>
      <c r="S26" s="245"/>
      <c r="T26" s="245"/>
      <c r="U26" s="245"/>
      <c r="V26" s="245"/>
      <c r="W26" s="245"/>
      <c r="X26" s="245"/>
      <c r="Y26" s="245"/>
      <c r="Z26" s="245"/>
      <c r="AA26" s="252"/>
    </row>
    <row r="27" spans="1:27" ht="30" customHeight="1" x14ac:dyDescent="0.25">
      <c r="A27" s="245"/>
      <c r="B27" s="245"/>
      <c r="C27" s="245"/>
      <c r="D27" s="245"/>
      <c r="E27" s="245"/>
      <c r="F27" s="245"/>
      <c r="G27" s="245"/>
      <c r="H27" s="245"/>
      <c r="I27" s="245"/>
      <c r="J27" s="245"/>
      <c r="K27" s="245"/>
      <c r="L27" s="245"/>
      <c r="M27" s="245"/>
      <c r="N27" s="245"/>
      <c r="O27" s="245"/>
      <c r="P27" s="245"/>
      <c r="Q27" s="245"/>
      <c r="R27" s="245"/>
      <c r="S27" s="245"/>
      <c r="T27" s="245"/>
      <c r="U27" s="245"/>
      <c r="V27" s="245"/>
      <c r="W27" s="245"/>
      <c r="X27" s="245"/>
      <c r="Y27" s="245"/>
      <c r="Z27" s="245"/>
      <c r="AA27" s="252"/>
    </row>
    <row r="28" spans="1:27" ht="30" customHeight="1" x14ac:dyDescent="0.25">
      <c r="A28" s="245"/>
      <c r="B28" s="245"/>
      <c r="C28" s="245"/>
      <c r="D28" s="245"/>
      <c r="E28" s="245"/>
      <c r="F28" s="245"/>
      <c r="G28" s="245"/>
      <c r="H28" s="245"/>
      <c r="I28" s="245"/>
      <c r="J28" s="245"/>
      <c r="K28" s="245"/>
      <c r="L28" s="245"/>
      <c r="M28" s="245"/>
      <c r="N28" s="245"/>
      <c r="O28" s="245"/>
      <c r="P28" s="245"/>
      <c r="Q28" s="245"/>
      <c r="R28" s="245"/>
      <c r="S28" s="245"/>
      <c r="T28" s="245"/>
      <c r="U28" s="245"/>
      <c r="V28" s="245"/>
      <c r="W28" s="245"/>
      <c r="X28" s="245"/>
      <c r="Y28" s="245"/>
      <c r="Z28" s="245"/>
      <c r="AA28" s="252"/>
    </row>
    <row r="29" spans="1:27" ht="30" customHeight="1" x14ac:dyDescent="0.25">
      <c r="A29" s="245"/>
      <c r="B29" s="245"/>
      <c r="C29" s="245"/>
      <c r="D29" s="245"/>
      <c r="E29" s="245"/>
      <c r="F29" s="245"/>
      <c r="G29" s="245"/>
      <c r="H29" s="245"/>
      <c r="I29" s="245"/>
      <c r="J29" s="245"/>
      <c r="K29" s="245"/>
      <c r="L29" s="245"/>
      <c r="M29" s="245"/>
      <c r="N29" s="245"/>
      <c r="O29" s="245"/>
      <c r="P29" s="245"/>
      <c r="Q29" s="245"/>
      <c r="R29" s="245"/>
      <c r="S29" s="245"/>
      <c r="T29" s="245"/>
      <c r="U29" s="245"/>
      <c r="V29" s="245"/>
      <c r="W29" s="245"/>
      <c r="X29" s="245"/>
      <c r="Y29" s="245"/>
      <c r="Z29" s="245"/>
      <c r="AA29" s="252"/>
    </row>
    <row r="30" spans="1:27" ht="30" customHeight="1" x14ac:dyDescent="0.25">
      <c r="A30" s="245"/>
      <c r="B30" s="245"/>
      <c r="C30" s="245"/>
      <c r="D30" s="245"/>
      <c r="E30" s="245"/>
      <c r="F30" s="245"/>
      <c r="G30" s="245"/>
      <c r="H30" s="245"/>
      <c r="I30" s="245"/>
      <c r="J30" s="245"/>
      <c r="K30" s="245"/>
      <c r="L30" s="245"/>
      <c r="M30" s="245"/>
      <c r="N30" s="245"/>
      <c r="O30" s="245"/>
      <c r="P30" s="245"/>
      <c r="Q30" s="245"/>
      <c r="R30" s="245"/>
      <c r="S30" s="245"/>
      <c r="T30" s="245"/>
      <c r="U30" s="245"/>
      <c r="V30" s="245"/>
      <c r="W30" s="245"/>
      <c r="X30" s="245"/>
      <c r="Y30" s="245"/>
      <c r="Z30" s="245"/>
      <c r="AA30" s="252"/>
    </row>
    <row r="31" spans="1:27" ht="30" customHeight="1" x14ac:dyDescent="0.25">
      <c r="A31" s="245"/>
      <c r="B31" s="245"/>
      <c r="C31" s="245"/>
      <c r="D31" s="245"/>
      <c r="E31" s="245"/>
      <c r="F31" s="245"/>
      <c r="G31" s="245"/>
      <c r="H31" s="245"/>
      <c r="I31" s="245"/>
      <c r="J31" s="245"/>
      <c r="K31" s="245"/>
      <c r="L31" s="245"/>
      <c r="M31" s="245"/>
      <c r="N31" s="245"/>
      <c r="O31" s="245"/>
      <c r="P31" s="245"/>
      <c r="Q31" s="245"/>
      <c r="R31" s="245"/>
      <c r="S31" s="245"/>
      <c r="T31" s="245"/>
      <c r="U31" s="245"/>
      <c r="V31" s="245"/>
      <c r="W31" s="245"/>
      <c r="X31" s="245"/>
      <c r="Y31" s="245"/>
      <c r="Z31" s="245"/>
      <c r="AA31" s="252"/>
    </row>
    <row r="32" spans="1:27" ht="30" customHeight="1" x14ac:dyDescent="0.25">
      <c r="A32" s="245"/>
      <c r="B32" s="245"/>
      <c r="C32" s="245"/>
      <c r="D32" s="245"/>
      <c r="E32" s="245"/>
      <c r="F32" s="245"/>
      <c r="G32" s="245"/>
      <c r="H32" s="245"/>
      <c r="I32" s="245"/>
      <c r="J32" s="245"/>
      <c r="K32" s="245"/>
      <c r="L32" s="245"/>
      <c r="M32" s="245"/>
      <c r="N32" s="245"/>
      <c r="O32" s="245"/>
      <c r="P32" s="245"/>
      <c r="Q32" s="245"/>
      <c r="R32" s="245"/>
      <c r="S32" s="245"/>
      <c r="T32" s="245"/>
      <c r="U32" s="245"/>
      <c r="V32" s="245"/>
      <c r="W32" s="245"/>
      <c r="X32" s="245"/>
      <c r="Y32" s="245"/>
      <c r="Z32" s="245"/>
      <c r="AA32" s="252"/>
    </row>
    <row r="33" spans="1:27" ht="30" customHeight="1" x14ac:dyDescent="0.25">
      <c r="A33" s="245"/>
      <c r="B33" s="245"/>
      <c r="C33" s="245"/>
      <c r="D33" s="245"/>
      <c r="E33" s="245"/>
      <c r="F33" s="245"/>
      <c r="G33" s="245"/>
      <c r="H33" s="245"/>
      <c r="I33" s="245"/>
      <c r="J33" s="245"/>
      <c r="K33" s="245"/>
      <c r="L33" s="245"/>
      <c r="M33" s="245"/>
      <c r="N33" s="245"/>
      <c r="O33" s="245"/>
      <c r="P33" s="245"/>
      <c r="Q33" s="245"/>
      <c r="R33" s="245"/>
      <c r="S33" s="245"/>
      <c r="T33" s="245"/>
      <c r="U33" s="245"/>
      <c r="V33" s="245"/>
      <c r="W33" s="245"/>
      <c r="X33" s="245"/>
      <c r="Y33" s="245"/>
      <c r="Z33" s="245"/>
      <c r="AA33" s="252"/>
    </row>
    <row r="34" spans="1:27" ht="30" customHeight="1" x14ac:dyDescent="0.25">
      <c r="A34" s="245"/>
      <c r="B34" s="245"/>
      <c r="C34" s="245"/>
      <c r="D34" s="245"/>
      <c r="E34" s="245"/>
      <c r="F34" s="245"/>
      <c r="G34" s="245"/>
      <c r="H34" s="245"/>
      <c r="I34" s="245"/>
      <c r="J34" s="245"/>
      <c r="K34" s="245"/>
      <c r="L34" s="245"/>
      <c r="M34" s="245"/>
      <c r="N34" s="245"/>
      <c r="O34" s="245"/>
      <c r="P34" s="245"/>
      <c r="Q34" s="245"/>
      <c r="R34" s="245"/>
      <c r="S34" s="245"/>
      <c r="T34" s="245"/>
      <c r="U34" s="245"/>
      <c r="V34" s="245"/>
      <c r="W34" s="245"/>
      <c r="X34" s="245"/>
      <c r="Y34" s="245"/>
      <c r="Z34" s="245"/>
      <c r="AA34" s="252"/>
    </row>
    <row r="35" spans="1:27" ht="30" customHeight="1" x14ac:dyDescent="0.25">
      <c r="A35" s="245"/>
      <c r="B35" s="245"/>
      <c r="C35" s="245"/>
      <c r="D35" s="245"/>
      <c r="E35" s="245"/>
      <c r="F35" s="245"/>
      <c r="G35" s="245"/>
      <c r="H35" s="245"/>
      <c r="I35" s="245"/>
      <c r="J35" s="245"/>
      <c r="K35" s="245"/>
      <c r="L35" s="245"/>
      <c r="M35" s="245"/>
      <c r="N35" s="245"/>
      <c r="O35" s="245"/>
      <c r="P35" s="245"/>
      <c r="Q35" s="245"/>
      <c r="R35" s="245"/>
      <c r="S35" s="245"/>
      <c r="T35" s="245"/>
      <c r="U35" s="245"/>
      <c r="V35" s="245"/>
      <c r="W35" s="245"/>
      <c r="X35" s="245"/>
      <c r="Y35" s="245"/>
      <c r="Z35" s="245"/>
      <c r="AA35" s="252"/>
    </row>
    <row r="36" spans="1:27" ht="30" customHeight="1" x14ac:dyDescent="0.25">
      <c r="A36" s="245"/>
      <c r="B36" s="245"/>
      <c r="C36" s="245"/>
      <c r="D36" s="245"/>
      <c r="E36" s="245"/>
      <c r="F36" s="245"/>
      <c r="G36" s="245"/>
      <c r="H36" s="245"/>
      <c r="I36" s="245"/>
      <c r="J36" s="245"/>
      <c r="K36" s="245"/>
      <c r="L36" s="245"/>
      <c r="M36" s="245"/>
      <c r="N36" s="245"/>
      <c r="O36" s="245"/>
      <c r="P36" s="245"/>
      <c r="Q36" s="245"/>
      <c r="R36" s="245"/>
      <c r="S36" s="245"/>
      <c r="T36" s="245"/>
      <c r="U36" s="245"/>
      <c r="V36" s="245"/>
      <c r="W36" s="245"/>
      <c r="X36" s="245"/>
      <c r="Y36" s="245"/>
      <c r="Z36" s="245"/>
      <c r="AA36" s="252"/>
    </row>
    <row r="37" spans="1:27" ht="30" customHeight="1" x14ac:dyDescent="0.25">
      <c r="A37" s="245"/>
      <c r="B37" s="245"/>
      <c r="C37" s="245"/>
      <c r="D37" s="245"/>
      <c r="E37" s="245"/>
      <c r="F37" s="245"/>
      <c r="G37" s="245"/>
      <c r="H37" s="245"/>
      <c r="I37" s="245"/>
      <c r="J37" s="245"/>
      <c r="K37" s="245"/>
      <c r="L37" s="245"/>
      <c r="M37" s="245"/>
      <c r="N37" s="245"/>
      <c r="O37" s="245"/>
      <c r="P37" s="245"/>
      <c r="Q37" s="245"/>
      <c r="R37" s="245"/>
      <c r="S37" s="245"/>
      <c r="T37" s="245"/>
      <c r="U37" s="245"/>
      <c r="V37" s="245"/>
      <c r="W37" s="245"/>
      <c r="X37" s="245"/>
      <c r="Y37" s="245"/>
      <c r="Z37" s="245"/>
      <c r="AA37" s="252"/>
    </row>
    <row r="38" spans="1:27" ht="30" customHeight="1" x14ac:dyDescent="0.25">
      <c r="A38" s="245"/>
      <c r="B38" s="245"/>
      <c r="C38" s="245"/>
      <c r="D38" s="245"/>
      <c r="E38" s="245"/>
      <c r="F38" s="245"/>
      <c r="G38" s="245"/>
      <c r="H38" s="245"/>
      <c r="I38" s="245"/>
      <c r="J38" s="245"/>
      <c r="K38" s="245"/>
      <c r="L38" s="245"/>
      <c r="M38" s="245"/>
      <c r="N38" s="245"/>
      <c r="O38" s="245"/>
      <c r="P38" s="245"/>
      <c r="Q38" s="245"/>
      <c r="R38" s="245"/>
      <c r="S38" s="245"/>
      <c r="T38" s="245"/>
      <c r="U38" s="245"/>
      <c r="V38" s="245"/>
      <c r="W38" s="245"/>
      <c r="X38" s="245"/>
      <c r="Y38" s="245"/>
      <c r="Z38" s="245"/>
      <c r="AA38" s="252"/>
    </row>
    <row r="39" spans="1:27" ht="30" customHeight="1" x14ac:dyDescent="0.25">
      <c r="A39" s="245"/>
      <c r="B39" s="245"/>
      <c r="C39" s="245"/>
      <c r="D39" s="245"/>
      <c r="E39" s="245"/>
      <c r="F39" s="245"/>
      <c r="G39" s="245"/>
      <c r="H39" s="245"/>
      <c r="I39" s="245"/>
      <c r="J39" s="245"/>
      <c r="K39" s="245"/>
      <c r="L39" s="245"/>
      <c r="M39" s="245"/>
      <c r="N39" s="245"/>
      <c r="O39" s="245"/>
      <c r="P39" s="245"/>
      <c r="Q39" s="245"/>
      <c r="R39" s="245"/>
      <c r="S39" s="245"/>
      <c r="T39" s="245"/>
      <c r="U39" s="245"/>
      <c r="V39" s="245"/>
      <c r="W39" s="245"/>
      <c r="X39" s="245"/>
      <c r="Y39" s="245"/>
      <c r="Z39" s="245"/>
      <c r="AA39" s="252"/>
    </row>
    <row r="40" spans="1:27" ht="30" customHeight="1" x14ac:dyDescent="0.25">
      <c r="A40" s="245"/>
      <c r="B40" s="245"/>
      <c r="C40" s="245"/>
      <c r="D40" s="245"/>
      <c r="E40" s="245"/>
      <c r="F40" s="245"/>
      <c r="G40" s="245"/>
      <c r="H40" s="245"/>
      <c r="I40" s="245"/>
      <c r="J40" s="245"/>
      <c r="K40" s="245"/>
      <c r="L40" s="245"/>
      <c r="M40" s="245"/>
      <c r="N40" s="245"/>
      <c r="O40" s="245"/>
      <c r="P40" s="245"/>
      <c r="Q40" s="245"/>
      <c r="R40" s="245"/>
      <c r="S40" s="245"/>
      <c r="T40" s="245"/>
      <c r="U40" s="245"/>
      <c r="V40" s="245"/>
      <c r="W40" s="245"/>
      <c r="X40" s="245"/>
      <c r="Y40" s="245"/>
      <c r="Z40" s="245"/>
      <c r="AA40" s="252"/>
    </row>
    <row r="41" spans="1:27" ht="30" customHeight="1" x14ac:dyDescent="0.25">
      <c r="A41" s="245"/>
      <c r="B41" s="245"/>
      <c r="C41" s="245"/>
      <c r="D41" s="245"/>
      <c r="E41" s="245"/>
      <c r="F41" s="245"/>
      <c r="G41" s="245"/>
      <c r="H41" s="245"/>
      <c r="I41" s="245"/>
      <c r="J41" s="245"/>
      <c r="K41" s="245"/>
      <c r="L41" s="245"/>
      <c r="M41" s="245"/>
      <c r="N41" s="245"/>
      <c r="O41" s="245"/>
      <c r="P41" s="245"/>
      <c r="Q41" s="245"/>
      <c r="R41" s="245"/>
      <c r="S41" s="245"/>
      <c r="T41" s="245"/>
      <c r="U41" s="245"/>
      <c r="V41" s="245"/>
      <c r="W41" s="245"/>
      <c r="X41" s="245"/>
      <c r="Y41" s="245"/>
      <c r="Z41" s="245"/>
      <c r="AA41" s="252"/>
    </row>
    <row r="42" spans="1:27" ht="30" customHeight="1" x14ac:dyDescent="0.25">
      <c r="A42" s="245"/>
      <c r="B42" s="245"/>
      <c r="C42" s="245"/>
      <c r="D42" s="245"/>
      <c r="E42" s="245"/>
      <c r="F42" s="245"/>
      <c r="G42" s="245"/>
      <c r="H42" s="245"/>
      <c r="I42" s="245"/>
      <c r="J42" s="245"/>
      <c r="K42" s="245"/>
      <c r="L42" s="245"/>
      <c r="M42" s="245"/>
      <c r="N42" s="245"/>
      <c r="O42" s="245"/>
      <c r="P42" s="245"/>
      <c r="Q42" s="245"/>
      <c r="R42" s="245"/>
      <c r="S42" s="245"/>
      <c r="T42" s="245"/>
      <c r="U42" s="245"/>
      <c r="V42" s="245"/>
      <c r="W42" s="245"/>
      <c r="X42" s="245"/>
      <c r="Y42" s="245"/>
      <c r="Z42" s="245"/>
      <c r="AA42" s="252"/>
    </row>
    <row r="43" spans="1:27" ht="30" customHeight="1" x14ac:dyDescent="0.25">
      <c r="A43" s="245"/>
      <c r="B43" s="245"/>
      <c r="C43" s="245"/>
      <c r="D43" s="245"/>
      <c r="E43" s="245"/>
      <c r="F43" s="245"/>
      <c r="G43" s="245"/>
      <c r="H43" s="245"/>
      <c r="I43" s="245"/>
      <c r="J43" s="245"/>
      <c r="K43" s="245"/>
      <c r="L43" s="245"/>
      <c r="M43" s="245"/>
      <c r="N43" s="245"/>
      <c r="O43" s="245"/>
      <c r="P43" s="245"/>
      <c r="Q43" s="245"/>
      <c r="R43" s="245"/>
      <c r="S43" s="245"/>
      <c r="T43" s="245"/>
      <c r="U43" s="245"/>
      <c r="V43" s="245"/>
      <c r="W43" s="245"/>
      <c r="X43" s="245"/>
      <c r="Y43" s="245"/>
      <c r="Z43" s="245"/>
      <c r="AA43" s="252"/>
    </row>
    <row r="44" spans="1:27" ht="30" customHeight="1" x14ac:dyDescent="0.25">
      <c r="A44" s="245"/>
      <c r="B44" s="245"/>
      <c r="C44" s="245"/>
      <c r="D44" s="245"/>
      <c r="E44" s="245"/>
      <c r="F44" s="245"/>
      <c r="G44" s="245"/>
      <c r="H44" s="245"/>
      <c r="I44" s="245"/>
      <c r="J44" s="245"/>
      <c r="K44" s="245"/>
      <c r="L44" s="245"/>
      <c r="M44" s="245"/>
      <c r="N44" s="245"/>
      <c r="O44" s="245"/>
      <c r="P44" s="245"/>
      <c r="Q44" s="245"/>
      <c r="R44" s="245"/>
      <c r="S44" s="245"/>
      <c r="T44" s="245"/>
      <c r="U44" s="245"/>
      <c r="V44" s="245"/>
      <c r="W44" s="245"/>
      <c r="X44" s="245"/>
      <c r="Y44" s="245"/>
      <c r="Z44" s="245"/>
      <c r="AA44" s="252"/>
    </row>
    <row r="45" spans="1:27" ht="30" customHeight="1" x14ac:dyDescent="0.25">
      <c r="A45" s="245"/>
      <c r="B45" s="245"/>
      <c r="C45" s="245"/>
      <c r="D45" s="245"/>
      <c r="E45" s="245"/>
      <c r="F45" s="245"/>
      <c r="G45" s="245"/>
      <c r="H45" s="245"/>
      <c r="I45" s="245"/>
      <c r="J45" s="245"/>
      <c r="K45" s="245"/>
      <c r="L45" s="245"/>
      <c r="M45" s="245"/>
      <c r="N45" s="245"/>
      <c r="O45" s="245"/>
      <c r="P45" s="245"/>
      <c r="Q45" s="245"/>
      <c r="R45" s="245"/>
      <c r="S45" s="245"/>
      <c r="T45" s="245"/>
      <c r="U45" s="245"/>
      <c r="V45" s="245"/>
      <c r="W45" s="245"/>
      <c r="X45" s="245"/>
      <c r="Y45" s="245"/>
      <c r="Z45" s="245"/>
      <c r="AA45" s="252"/>
    </row>
    <row r="46" spans="1:27" ht="30" customHeight="1" x14ac:dyDescent="0.25">
      <c r="A46" s="245"/>
      <c r="B46" s="245"/>
      <c r="C46" s="245"/>
      <c r="D46" s="245"/>
      <c r="E46" s="245"/>
      <c r="F46" s="245"/>
      <c r="G46" s="245"/>
      <c r="H46" s="245"/>
      <c r="I46" s="245"/>
      <c r="J46" s="245"/>
      <c r="K46" s="245"/>
      <c r="L46" s="245"/>
      <c r="M46" s="245"/>
      <c r="N46" s="245"/>
      <c r="O46" s="245"/>
      <c r="P46" s="245"/>
      <c r="Q46" s="245"/>
      <c r="R46" s="245"/>
      <c r="S46" s="245"/>
      <c r="T46" s="245"/>
      <c r="U46" s="245"/>
      <c r="V46" s="245"/>
      <c r="W46" s="245"/>
      <c r="X46" s="245"/>
      <c r="Y46" s="245"/>
      <c r="Z46" s="245"/>
      <c r="AA46" s="252"/>
    </row>
    <row r="47" spans="1:27" ht="30" customHeight="1" x14ac:dyDescent="0.25">
      <c r="A47" s="245"/>
      <c r="B47" s="245"/>
      <c r="C47" s="245"/>
      <c r="D47" s="245"/>
      <c r="E47" s="245"/>
      <c r="F47" s="245"/>
      <c r="G47" s="245"/>
      <c r="H47" s="245"/>
      <c r="I47" s="245"/>
      <c r="J47" s="245"/>
      <c r="K47" s="245"/>
      <c r="L47" s="245"/>
      <c r="M47" s="245"/>
      <c r="N47" s="245"/>
      <c r="O47" s="245"/>
      <c r="P47" s="245"/>
      <c r="Q47" s="245"/>
      <c r="R47" s="245"/>
      <c r="S47" s="245"/>
      <c r="T47" s="245"/>
      <c r="U47" s="245"/>
      <c r="V47" s="245"/>
      <c r="W47" s="245"/>
      <c r="X47" s="245"/>
      <c r="Y47" s="245"/>
      <c r="Z47" s="245"/>
      <c r="AA47" s="252"/>
    </row>
    <row r="48" spans="1:27" ht="30" customHeight="1" x14ac:dyDescent="0.25">
      <c r="A48" s="245"/>
      <c r="B48" s="245"/>
      <c r="C48" s="245"/>
      <c r="D48" s="245"/>
      <c r="E48" s="245"/>
      <c r="F48" s="245"/>
      <c r="G48" s="245"/>
      <c r="H48" s="245"/>
      <c r="I48" s="245"/>
      <c r="J48" s="245"/>
      <c r="K48" s="245"/>
      <c r="L48" s="245"/>
      <c r="M48" s="245"/>
      <c r="N48" s="245"/>
      <c r="O48" s="245"/>
      <c r="P48" s="245"/>
      <c r="Q48" s="245"/>
      <c r="R48" s="245"/>
      <c r="S48" s="245"/>
      <c r="T48" s="245"/>
      <c r="U48" s="245"/>
      <c r="V48" s="245"/>
      <c r="W48" s="245"/>
      <c r="X48" s="245"/>
      <c r="Y48" s="245"/>
      <c r="Z48" s="245"/>
      <c r="AA48" s="252"/>
    </row>
    <row r="49" spans="1:27" ht="30" customHeight="1" x14ac:dyDescent="0.25">
      <c r="A49" s="245"/>
      <c r="B49" s="245"/>
      <c r="C49" s="245"/>
      <c r="D49" s="245"/>
      <c r="E49" s="245"/>
      <c r="F49" s="245"/>
      <c r="G49" s="245"/>
      <c r="H49" s="245"/>
      <c r="I49" s="245"/>
      <c r="J49" s="245"/>
      <c r="K49" s="245"/>
      <c r="L49" s="245"/>
      <c r="M49" s="245"/>
      <c r="N49" s="245"/>
      <c r="O49" s="245"/>
      <c r="P49" s="245"/>
      <c r="Q49" s="245"/>
      <c r="R49" s="245"/>
      <c r="S49" s="245"/>
      <c r="T49" s="245"/>
      <c r="U49" s="245"/>
      <c r="V49" s="245"/>
      <c r="W49" s="245"/>
      <c r="X49" s="245"/>
      <c r="Y49" s="245"/>
      <c r="Z49" s="245"/>
      <c r="AA49" s="252"/>
    </row>
    <row r="50" spans="1:27" ht="30" customHeight="1" x14ac:dyDescent="0.25">
      <c r="A50" s="245"/>
      <c r="B50" s="245"/>
      <c r="C50" s="245"/>
      <c r="D50" s="245"/>
      <c r="E50" s="245"/>
      <c r="F50" s="245"/>
      <c r="G50" s="245"/>
      <c r="H50" s="245"/>
      <c r="I50" s="245"/>
      <c r="J50" s="245"/>
      <c r="K50" s="245"/>
      <c r="L50" s="245"/>
      <c r="M50" s="245"/>
      <c r="N50" s="245"/>
      <c r="O50" s="245"/>
      <c r="P50" s="245"/>
      <c r="Q50" s="245"/>
      <c r="R50" s="245"/>
      <c r="S50" s="245"/>
      <c r="T50" s="245"/>
      <c r="U50" s="245"/>
      <c r="V50" s="245"/>
      <c r="W50" s="245"/>
      <c r="X50" s="245"/>
      <c r="Y50" s="245"/>
      <c r="Z50" s="245"/>
      <c r="AA50" s="252"/>
    </row>
    <row r="51" spans="1:27" ht="30" customHeight="1" x14ac:dyDescent="0.25">
      <c r="A51" s="245"/>
      <c r="B51" s="245"/>
      <c r="C51" s="245"/>
      <c r="D51" s="245"/>
      <c r="E51" s="245"/>
      <c r="F51" s="245"/>
      <c r="G51" s="245"/>
      <c r="H51" s="245"/>
      <c r="I51" s="245"/>
      <c r="J51" s="245"/>
      <c r="K51" s="245"/>
      <c r="L51" s="245"/>
      <c r="M51" s="245"/>
      <c r="N51" s="245"/>
      <c r="O51" s="245"/>
      <c r="P51" s="245"/>
      <c r="Q51" s="245"/>
      <c r="R51" s="245"/>
      <c r="S51" s="245"/>
      <c r="T51" s="245"/>
      <c r="U51" s="245"/>
      <c r="V51" s="245"/>
      <c r="W51" s="245"/>
      <c r="X51" s="245"/>
      <c r="Y51" s="245"/>
      <c r="Z51" s="245"/>
      <c r="AA51" s="252"/>
    </row>
    <row r="52" spans="1:27" ht="30" customHeight="1" x14ac:dyDescent="0.25">
      <c r="A52" s="245"/>
      <c r="B52" s="245"/>
      <c r="C52" s="245"/>
      <c r="D52" s="245"/>
      <c r="E52" s="245"/>
      <c r="F52" s="245"/>
      <c r="G52" s="245"/>
      <c r="H52" s="245"/>
      <c r="I52" s="245"/>
      <c r="J52" s="245"/>
      <c r="K52" s="245"/>
      <c r="L52" s="245"/>
      <c r="M52" s="245"/>
      <c r="N52" s="245"/>
      <c r="O52" s="245"/>
      <c r="P52" s="245"/>
      <c r="Q52" s="245"/>
      <c r="R52" s="245"/>
      <c r="S52" s="245"/>
      <c r="T52" s="245"/>
      <c r="U52" s="245"/>
      <c r="V52" s="245"/>
      <c r="W52" s="245"/>
      <c r="X52" s="245"/>
      <c r="Y52" s="245"/>
      <c r="Z52" s="245"/>
      <c r="AA52" s="252"/>
    </row>
    <row r="53" spans="1:27" ht="30" customHeight="1" x14ac:dyDescent="0.25">
      <c r="A53" s="245"/>
      <c r="B53" s="245"/>
      <c r="C53" s="245"/>
      <c r="D53" s="245"/>
      <c r="E53" s="245"/>
      <c r="F53" s="245"/>
      <c r="G53" s="245"/>
      <c r="H53" s="245"/>
      <c r="I53" s="245"/>
      <c r="J53" s="245"/>
      <c r="K53" s="245"/>
      <c r="L53" s="245"/>
      <c r="M53" s="245"/>
      <c r="N53" s="245"/>
      <c r="O53" s="245"/>
      <c r="P53" s="245"/>
      <c r="Q53" s="245"/>
      <c r="R53" s="245"/>
      <c r="S53" s="245"/>
      <c r="T53" s="245"/>
      <c r="U53" s="245"/>
      <c r="V53" s="245"/>
      <c r="W53" s="245"/>
      <c r="X53" s="245"/>
      <c r="Y53" s="245"/>
      <c r="Z53" s="245"/>
      <c r="AA53" s="252"/>
    </row>
    <row r="54" spans="1:27" ht="30" customHeight="1" x14ac:dyDescent="0.25">
      <c r="A54" s="245"/>
      <c r="B54" s="245"/>
      <c r="C54" s="245"/>
      <c r="D54" s="245"/>
      <c r="E54" s="245"/>
      <c r="F54" s="245"/>
      <c r="G54" s="245"/>
      <c r="H54" s="245"/>
      <c r="I54" s="245"/>
      <c r="J54" s="245"/>
      <c r="K54" s="245"/>
      <c r="L54" s="245"/>
      <c r="M54" s="245"/>
      <c r="N54" s="245"/>
      <c r="O54" s="245"/>
      <c r="P54" s="245"/>
      <c r="Q54" s="245"/>
      <c r="R54" s="245"/>
      <c r="S54" s="245"/>
      <c r="T54" s="245"/>
      <c r="U54" s="245"/>
      <c r="V54" s="245"/>
      <c r="W54" s="245"/>
      <c r="X54" s="245"/>
      <c r="Y54" s="245"/>
      <c r="Z54" s="245"/>
      <c r="AA54" s="252"/>
    </row>
    <row r="55" spans="1:27" ht="30" customHeight="1" x14ac:dyDescent="0.25">
      <c r="A55" s="245"/>
      <c r="B55" s="245"/>
      <c r="C55" s="245"/>
      <c r="D55" s="245"/>
      <c r="E55" s="245"/>
      <c r="F55" s="245"/>
      <c r="G55" s="245"/>
      <c r="H55" s="245"/>
      <c r="I55" s="245"/>
      <c r="J55" s="245"/>
      <c r="K55" s="245"/>
      <c r="L55" s="245"/>
      <c r="M55" s="245"/>
      <c r="N55" s="245"/>
      <c r="O55" s="245"/>
      <c r="P55" s="245"/>
      <c r="Q55" s="245"/>
      <c r="R55" s="245"/>
      <c r="S55" s="245"/>
      <c r="T55" s="245"/>
      <c r="U55" s="245"/>
      <c r="V55" s="245"/>
      <c r="W55" s="245"/>
      <c r="X55" s="245"/>
      <c r="Y55" s="245"/>
      <c r="Z55" s="245"/>
      <c r="AA55" s="252"/>
    </row>
    <row r="56" spans="1:27" ht="30" customHeight="1" x14ac:dyDescent="0.25">
      <c r="A56" s="245"/>
      <c r="B56" s="245"/>
      <c r="C56" s="245"/>
      <c r="D56" s="245"/>
      <c r="E56" s="245"/>
      <c r="F56" s="245"/>
      <c r="G56" s="245"/>
      <c r="H56" s="245"/>
      <c r="I56" s="245"/>
      <c r="J56" s="245"/>
      <c r="K56" s="245"/>
      <c r="L56" s="245"/>
      <c r="M56" s="245"/>
      <c r="N56" s="245"/>
      <c r="O56" s="245"/>
      <c r="P56" s="245"/>
      <c r="Q56" s="245"/>
      <c r="R56" s="245"/>
      <c r="S56" s="245"/>
      <c r="T56" s="245"/>
      <c r="U56" s="245"/>
      <c r="V56" s="245"/>
      <c r="W56" s="245"/>
      <c r="X56" s="245"/>
      <c r="Y56" s="245"/>
      <c r="Z56" s="245"/>
      <c r="AA56" s="252"/>
    </row>
    <row r="57" spans="1:27" ht="30" customHeight="1" x14ac:dyDescent="0.25">
      <c r="A57" s="245"/>
      <c r="B57" s="245"/>
      <c r="C57" s="245"/>
      <c r="D57" s="245"/>
      <c r="E57" s="245"/>
      <c r="F57" s="245"/>
      <c r="G57" s="245"/>
      <c r="H57" s="245"/>
      <c r="I57" s="245"/>
      <c r="J57" s="245"/>
      <c r="K57" s="245"/>
      <c r="L57" s="245"/>
      <c r="M57" s="245"/>
      <c r="N57" s="245"/>
      <c r="O57" s="245"/>
      <c r="P57" s="245"/>
      <c r="Q57" s="245"/>
      <c r="R57" s="245"/>
      <c r="S57" s="245"/>
      <c r="T57" s="245"/>
      <c r="U57" s="245"/>
      <c r="V57" s="245"/>
      <c r="W57" s="245"/>
      <c r="X57" s="245"/>
      <c r="Y57" s="245"/>
      <c r="Z57" s="245"/>
      <c r="AA57" s="252"/>
    </row>
    <row r="58" spans="1:27" ht="30" customHeight="1" x14ac:dyDescent="0.25">
      <c r="A58" s="245"/>
      <c r="B58" s="245"/>
      <c r="C58" s="245"/>
      <c r="D58" s="245"/>
      <c r="E58" s="245"/>
      <c r="F58" s="245"/>
      <c r="G58" s="245"/>
      <c r="H58" s="245"/>
      <c r="I58" s="245"/>
      <c r="J58" s="245"/>
      <c r="K58" s="245"/>
      <c r="L58" s="245"/>
      <c r="M58" s="245"/>
      <c r="N58" s="245"/>
      <c r="O58" s="245"/>
      <c r="P58" s="245"/>
      <c r="Q58" s="245"/>
      <c r="R58" s="245"/>
      <c r="S58" s="245"/>
      <c r="T58" s="245"/>
      <c r="U58" s="245"/>
      <c r="V58" s="245"/>
      <c r="W58" s="245"/>
      <c r="X58" s="245"/>
      <c r="Y58" s="245"/>
      <c r="Z58" s="245"/>
      <c r="AA58" s="252"/>
    </row>
    <row r="59" spans="1:27" ht="30" customHeight="1" x14ac:dyDescent="0.25">
      <c r="A59" s="245"/>
      <c r="B59" s="245"/>
      <c r="C59" s="245"/>
      <c r="D59" s="245"/>
      <c r="E59" s="245"/>
      <c r="F59" s="245"/>
      <c r="G59" s="245"/>
      <c r="H59" s="245"/>
      <c r="I59" s="245"/>
      <c r="J59" s="245"/>
      <c r="K59" s="245"/>
      <c r="L59" s="245"/>
      <c r="M59" s="245"/>
      <c r="N59" s="245"/>
      <c r="O59" s="245"/>
      <c r="P59" s="245"/>
      <c r="Q59" s="245"/>
      <c r="R59" s="245"/>
      <c r="S59" s="245"/>
      <c r="T59" s="245"/>
      <c r="U59" s="245"/>
      <c r="V59" s="245"/>
      <c r="W59" s="245"/>
      <c r="X59" s="245"/>
      <c r="Y59" s="245"/>
      <c r="Z59" s="245"/>
      <c r="AA59" s="252"/>
    </row>
    <row r="60" spans="1:27" ht="30" customHeight="1" x14ac:dyDescent="0.25">
      <c r="A60" s="245"/>
      <c r="B60" s="245"/>
      <c r="C60" s="245"/>
      <c r="D60" s="245"/>
      <c r="E60" s="245"/>
      <c r="F60" s="245"/>
      <c r="G60" s="245"/>
      <c r="H60" s="245"/>
      <c r="I60" s="245"/>
      <c r="J60" s="245"/>
      <c r="K60" s="245"/>
      <c r="L60" s="245"/>
      <c r="M60" s="245"/>
      <c r="N60" s="245"/>
      <c r="O60" s="245"/>
      <c r="P60" s="245"/>
      <c r="Q60" s="245"/>
      <c r="R60" s="245"/>
      <c r="S60" s="245"/>
      <c r="T60" s="245"/>
      <c r="U60" s="245"/>
      <c r="V60" s="245"/>
      <c r="W60" s="245"/>
      <c r="X60" s="245"/>
      <c r="Y60" s="245"/>
      <c r="Z60" s="245"/>
      <c r="AA60" s="252"/>
    </row>
    <row r="61" spans="1:27" ht="30" customHeight="1" x14ac:dyDescent="0.25">
      <c r="A61" s="245"/>
      <c r="B61" s="245"/>
      <c r="C61" s="245"/>
      <c r="D61" s="245"/>
      <c r="E61" s="245"/>
      <c r="F61" s="245"/>
      <c r="G61" s="245"/>
      <c r="H61" s="245"/>
      <c r="I61" s="245"/>
      <c r="J61" s="245"/>
      <c r="K61" s="245"/>
      <c r="L61" s="245"/>
      <c r="M61" s="245"/>
      <c r="N61" s="245"/>
      <c r="O61" s="245"/>
      <c r="P61" s="245"/>
      <c r="Q61" s="245"/>
      <c r="R61" s="245"/>
      <c r="S61" s="245"/>
      <c r="T61" s="245"/>
      <c r="U61" s="245"/>
      <c r="V61" s="245"/>
      <c r="W61" s="245"/>
      <c r="X61" s="245"/>
      <c r="Y61" s="245"/>
      <c r="Z61" s="245"/>
      <c r="AA61" s="252"/>
    </row>
    <row r="62" spans="1:27" ht="30" customHeight="1" x14ac:dyDescent="0.25">
      <c r="A62" s="245"/>
      <c r="B62" s="245"/>
      <c r="C62" s="245"/>
      <c r="D62" s="245"/>
      <c r="E62" s="245"/>
      <c r="F62" s="245"/>
      <c r="G62" s="245"/>
      <c r="H62" s="245"/>
      <c r="I62" s="245"/>
      <c r="J62" s="245"/>
      <c r="K62" s="245"/>
      <c r="L62" s="245"/>
      <c r="M62" s="245"/>
      <c r="N62" s="245"/>
      <c r="O62" s="245"/>
      <c r="P62" s="245"/>
      <c r="Q62" s="245"/>
      <c r="R62" s="245"/>
      <c r="S62" s="245"/>
      <c r="T62" s="245"/>
      <c r="U62" s="245"/>
      <c r="V62" s="245"/>
      <c r="W62" s="245"/>
      <c r="X62" s="245"/>
      <c r="Y62" s="245"/>
      <c r="Z62" s="245"/>
      <c r="AA62" s="252"/>
    </row>
    <row r="63" spans="1:27" ht="30" customHeight="1" x14ac:dyDescent="0.25">
      <c r="A63" s="245"/>
      <c r="B63" s="245"/>
      <c r="C63" s="245"/>
      <c r="D63" s="245"/>
      <c r="E63" s="245"/>
      <c r="F63" s="245"/>
      <c r="G63" s="245"/>
      <c r="H63" s="245"/>
      <c r="I63" s="245"/>
      <c r="J63" s="245"/>
      <c r="K63" s="245"/>
      <c r="L63" s="245"/>
      <c r="M63" s="245"/>
      <c r="N63" s="245"/>
      <c r="O63" s="245"/>
      <c r="P63" s="245"/>
      <c r="Q63" s="245"/>
      <c r="R63" s="245"/>
      <c r="S63" s="245"/>
      <c r="T63" s="245"/>
      <c r="U63" s="245"/>
      <c r="V63" s="245"/>
      <c r="W63" s="245"/>
      <c r="X63" s="245"/>
      <c r="Y63" s="245"/>
      <c r="Z63" s="245"/>
      <c r="AA63" s="252"/>
    </row>
    <row r="64" spans="1:27" ht="30" customHeight="1" x14ac:dyDescent="0.25">
      <c r="A64" s="245"/>
      <c r="B64" s="245"/>
      <c r="C64" s="245"/>
      <c r="D64" s="245"/>
      <c r="E64" s="245"/>
      <c r="F64" s="245"/>
      <c r="G64" s="245"/>
      <c r="H64" s="245"/>
      <c r="I64" s="245"/>
      <c r="J64" s="245"/>
      <c r="K64" s="245"/>
      <c r="L64" s="245"/>
      <c r="M64" s="245"/>
      <c r="N64" s="245"/>
      <c r="O64" s="245"/>
      <c r="P64" s="245"/>
      <c r="Q64" s="245"/>
      <c r="R64" s="245"/>
      <c r="S64" s="245"/>
      <c r="T64" s="245"/>
      <c r="U64" s="245"/>
      <c r="V64" s="245"/>
      <c r="W64" s="245"/>
      <c r="X64" s="245"/>
      <c r="Y64" s="245"/>
      <c r="Z64" s="245"/>
      <c r="AA64" s="252"/>
    </row>
    <row r="65" spans="1:27" ht="30" customHeight="1" x14ac:dyDescent="0.25">
      <c r="A65" s="245"/>
      <c r="B65" s="245"/>
      <c r="C65" s="245"/>
      <c r="D65" s="245"/>
      <c r="E65" s="245"/>
      <c r="F65" s="245"/>
      <c r="G65" s="245"/>
      <c r="H65" s="245"/>
      <c r="I65" s="245"/>
      <c r="J65" s="245"/>
      <c r="K65" s="245"/>
      <c r="L65" s="245"/>
      <c r="M65" s="245"/>
      <c r="N65" s="245"/>
      <c r="O65" s="245"/>
      <c r="P65" s="245"/>
      <c r="Q65" s="245"/>
      <c r="R65" s="245"/>
      <c r="S65" s="245"/>
      <c r="T65" s="245"/>
      <c r="U65" s="245"/>
      <c r="V65" s="245"/>
      <c r="W65" s="245"/>
      <c r="X65" s="245"/>
      <c r="Y65" s="245"/>
      <c r="Z65" s="245"/>
      <c r="AA65" s="252"/>
    </row>
    <row r="66" spans="1:27" ht="30" customHeight="1" x14ac:dyDescent="0.25">
      <c r="A66" s="245"/>
      <c r="B66" s="245"/>
      <c r="C66" s="245"/>
      <c r="D66" s="245"/>
      <c r="E66" s="245"/>
      <c r="F66" s="245"/>
      <c r="G66" s="245"/>
      <c r="H66" s="245"/>
      <c r="I66" s="245"/>
      <c r="J66" s="245"/>
      <c r="K66" s="245"/>
      <c r="L66" s="245"/>
      <c r="M66" s="245"/>
      <c r="N66" s="245"/>
      <c r="O66" s="245"/>
      <c r="P66" s="245"/>
      <c r="Q66" s="245"/>
      <c r="R66" s="245"/>
      <c r="S66" s="245"/>
      <c r="T66" s="245"/>
      <c r="U66" s="245"/>
      <c r="V66" s="245"/>
      <c r="W66" s="245"/>
      <c r="X66" s="245"/>
      <c r="Y66" s="245"/>
      <c r="Z66" s="245"/>
      <c r="AA66" s="252"/>
    </row>
    <row r="67" spans="1:27" ht="30" customHeight="1" x14ac:dyDescent="0.25">
      <c r="A67" s="245"/>
      <c r="B67" s="245"/>
      <c r="C67" s="245"/>
      <c r="D67" s="245"/>
      <c r="E67" s="245"/>
      <c r="F67" s="245"/>
      <c r="G67" s="245"/>
      <c r="H67" s="245"/>
      <c r="I67" s="245"/>
      <c r="J67" s="245"/>
      <c r="K67" s="245"/>
      <c r="L67" s="245"/>
      <c r="M67" s="245"/>
      <c r="N67" s="245"/>
      <c r="O67" s="245"/>
      <c r="P67" s="245"/>
      <c r="Q67" s="245"/>
      <c r="R67" s="245"/>
      <c r="S67" s="245"/>
      <c r="T67" s="245"/>
      <c r="U67" s="245"/>
      <c r="V67" s="245"/>
      <c r="W67" s="245"/>
      <c r="X67" s="245"/>
      <c r="Y67" s="245"/>
      <c r="Z67" s="245"/>
      <c r="AA67" s="252"/>
    </row>
    <row r="68" spans="1:27" ht="30" customHeight="1" x14ac:dyDescent="0.25">
      <c r="A68" s="245"/>
      <c r="B68" s="245"/>
      <c r="C68" s="245"/>
      <c r="D68" s="245"/>
      <c r="E68" s="245"/>
      <c r="F68" s="245"/>
      <c r="G68" s="245"/>
      <c r="H68" s="245"/>
      <c r="I68" s="245"/>
      <c r="J68" s="245"/>
      <c r="K68" s="245"/>
      <c r="L68" s="245"/>
      <c r="M68" s="245"/>
      <c r="N68" s="245"/>
      <c r="O68" s="245"/>
      <c r="P68" s="245"/>
      <c r="Q68" s="245"/>
      <c r="R68" s="245"/>
      <c r="S68" s="245"/>
      <c r="T68" s="245"/>
      <c r="U68" s="245"/>
      <c r="V68" s="245"/>
      <c r="W68" s="245"/>
      <c r="X68" s="245"/>
      <c r="Y68" s="245"/>
      <c r="Z68" s="245"/>
      <c r="AA68" s="252"/>
    </row>
    <row r="69" spans="1:27" ht="30" customHeight="1" x14ac:dyDescent="0.25">
      <c r="A69" s="245"/>
      <c r="B69" s="245"/>
      <c r="C69" s="245"/>
      <c r="D69" s="245"/>
      <c r="E69" s="245"/>
      <c r="F69" s="245"/>
      <c r="G69" s="245"/>
      <c r="H69" s="245"/>
      <c r="I69" s="245"/>
      <c r="J69" s="245"/>
      <c r="K69" s="245"/>
      <c r="L69" s="245"/>
      <c r="M69" s="245"/>
      <c r="N69" s="245"/>
      <c r="O69" s="245"/>
      <c r="P69" s="245"/>
      <c r="Q69" s="245"/>
      <c r="R69" s="245"/>
      <c r="S69" s="245"/>
      <c r="T69" s="245"/>
      <c r="U69" s="245"/>
      <c r="V69" s="245"/>
      <c r="W69" s="245"/>
      <c r="X69" s="245"/>
      <c r="Y69" s="245"/>
      <c r="Z69" s="245"/>
      <c r="AA69" s="252"/>
    </row>
    <row r="70" spans="1:27" ht="30" customHeight="1" x14ac:dyDescent="0.25">
      <c r="A70" s="245"/>
      <c r="B70" s="245"/>
      <c r="C70" s="245"/>
      <c r="D70" s="245"/>
      <c r="E70" s="245"/>
      <c r="F70" s="245"/>
      <c r="G70" s="245"/>
      <c r="H70" s="245"/>
      <c r="I70" s="245"/>
      <c r="J70" s="245"/>
      <c r="K70" s="245"/>
      <c r="L70" s="245"/>
      <c r="M70" s="245"/>
      <c r="N70" s="245"/>
      <c r="O70" s="245"/>
      <c r="P70" s="245"/>
      <c r="Q70" s="245"/>
      <c r="R70" s="245"/>
      <c r="S70" s="245"/>
      <c r="T70" s="245"/>
      <c r="U70" s="245"/>
      <c r="V70" s="245"/>
      <c r="W70" s="245"/>
      <c r="X70" s="245"/>
      <c r="Y70" s="245"/>
      <c r="Z70" s="245"/>
      <c r="AA70" s="252"/>
    </row>
    <row r="71" spans="1:27" ht="30" customHeight="1" x14ac:dyDescent="0.25">
      <c r="A71" s="245"/>
      <c r="B71" s="245"/>
      <c r="C71" s="245"/>
      <c r="D71" s="245"/>
      <c r="E71" s="245"/>
      <c r="F71" s="245"/>
      <c r="G71" s="245"/>
      <c r="H71" s="245"/>
      <c r="I71" s="245"/>
      <c r="J71" s="245"/>
      <c r="K71" s="245"/>
      <c r="L71" s="245"/>
      <c r="M71" s="245"/>
      <c r="N71" s="245"/>
      <c r="O71" s="245"/>
      <c r="P71" s="245"/>
      <c r="Q71" s="245"/>
      <c r="R71" s="245"/>
      <c r="S71" s="245"/>
      <c r="T71" s="245"/>
      <c r="U71" s="245"/>
      <c r="V71" s="245"/>
      <c r="W71" s="245"/>
      <c r="X71" s="245"/>
      <c r="Y71" s="245"/>
      <c r="Z71" s="245"/>
      <c r="AA71" s="252"/>
    </row>
    <row r="72" spans="1:27" ht="30" customHeight="1" x14ac:dyDescent="0.25">
      <c r="A72" s="245"/>
      <c r="B72" s="245"/>
      <c r="C72" s="245"/>
      <c r="D72" s="245"/>
      <c r="E72" s="245"/>
      <c r="F72" s="245"/>
      <c r="G72" s="245"/>
      <c r="H72" s="245"/>
      <c r="I72" s="245"/>
      <c r="J72" s="245"/>
      <c r="K72" s="245"/>
      <c r="L72" s="245"/>
      <c r="M72" s="245"/>
      <c r="N72" s="245"/>
      <c r="O72" s="245"/>
      <c r="P72" s="245"/>
      <c r="Q72" s="245"/>
      <c r="R72" s="245"/>
      <c r="S72" s="245"/>
      <c r="T72" s="245"/>
      <c r="U72" s="245"/>
      <c r="V72" s="245"/>
      <c r="W72" s="245"/>
      <c r="X72" s="245"/>
      <c r="Y72" s="245"/>
      <c r="Z72" s="245"/>
      <c r="AA72" s="252"/>
    </row>
    <row r="73" spans="1:27" ht="30" customHeight="1" x14ac:dyDescent="0.25">
      <c r="A73" s="245"/>
      <c r="B73" s="245"/>
      <c r="C73" s="245"/>
      <c r="D73" s="245"/>
      <c r="E73" s="245"/>
      <c r="F73" s="245"/>
      <c r="G73" s="245"/>
      <c r="H73" s="245"/>
      <c r="I73" s="245"/>
      <c r="J73" s="245"/>
      <c r="K73" s="245"/>
      <c r="L73" s="245"/>
      <c r="M73" s="245"/>
      <c r="N73" s="245"/>
      <c r="O73" s="245"/>
      <c r="P73" s="245"/>
      <c r="Q73" s="245"/>
      <c r="R73" s="245"/>
      <c r="S73" s="245"/>
      <c r="T73" s="245"/>
      <c r="U73" s="245"/>
      <c r="V73" s="245"/>
      <c r="W73" s="245"/>
      <c r="X73" s="245"/>
      <c r="Y73" s="245"/>
      <c r="Z73" s="245"/>
      <c r="AA73" s="252"/>
    </row>
    <row r="74" spans="1:27" ht="30" customHeight="1" x14ac:dyDescent="0.25">
      <c r="A74" s="245"/>
      <c r="B74" s="245"/>
      <c r="C74" s="245"/>
      <c r="D74" s="245"/>
      <c r="E74" s="245"/>
      <c r="F74" s="245"/>
      <c r="G74" s="245"/>
      <c r="H74" s="245"/>
      <c r="I74" s="245"/>
      <c r="J74" s="245"/>
      <c r="K74" s="245"/>
      <c r="L74" s="245"/>
      <c r="M74" s="245"/>
      <c r="N74" s="245"/>
      <c r="O74" s="245"/>
      <c r="P74" s="245"/>
      <c r="Q74" s="245"/>
      <c r="R74" s="245"/>
      <c r="S74" s="245"/>
      <c r="T74" s="245"/>
      <c r="U74" s="245"/>
      <c r="V74" s="245"/>
      <c r="W74" s="245"/>
      <c r="X74" s="245"/>
      <c r="Y74" s="245"/>
      <c r="Z74" s="245"/>
      <c r="AA74" s="252"/>
    </row>
    <row r="75" spans="1:27" ht="30" customHeight="1" x14ac:dyDescent="0.25">
      <c r="A75" s="245"/>
      <c r="B75" s="245"/>
      <c r="C75" s="245"/>
      <c r="D75" s="245"/>
      <c r="E75" s="245"/>
      <c r="F75" s="245"/>
      <c r="G75" s="245"/>
      <c r="H75" s="245"/>
      <c r="I75" s="245"/>
      <c r="J75" s="245"/>
      <c r="K75" s="245"/>
      <c r="L75" s="245"/>
      <c r="M75" s="245"/>
      <c r="N75" s="245"/>
      <c r="O75" s="245"/>
      <c r="P75" s="245"/>
      <c r="Q75" s="245"/>
      <c r="R75" s="245"/>
      <c r="S75" s="245"/>
      <c r="T75" s="245"/>
      <c r="U75" s="245"/>
      <c r="V75" s="245"/>
      <c r="W75" s="245"/>
      <c r="X75" s="245"/>
      <c r="Y75" s="245"/>
      <c r="Z75" s="245"/>
      <c r="AA75" s="252"/>
    </row>
    <row r="76" spans="1:27" ht="30" customHeight="1" x14ac:dyDescent="0.25">
      <c r="A76" s="245"/>
      <c r="B76" s="245"/>
      <c r="C76" s="245"/>
      <c r="D76" s="245"/>
      <c r="E76" s="245"/>
      <c r="F76" s="245"/>
      <c r="G76" s="245"/>
      <c r="H76" s="245"/>
      <c r="I76" s="245"/>
      <c r="J76" s="245"/>
      <c r="K76" s="245"/>
      <c r="L76" s="245"/>
      <c r="M76" s="245"/>
      <c r="N76" s="245"/>
      <c r="O76" s="245"/>
      <c r="P76" s="245"/>
      <c r="Q76" s="245"/>
      <c r="R76" s="245"/>
      <c r="S76" s="245"/>
      <c r="T76" s="245"/>
      <c r="U76" s="245"/>
      <c r="V76" s="245"/>
      <c r="W76" s="245"/>
      <c r="X76" s="245"/>
      <c r="Y76" s="245"/>
      <c r="Z76" s="245"/>
      <c r="AA76" s="252"/>
    </row>
    <row r="77" spans="1:27" ht="30" customHeight="1" x14ac:dyDescent="0.25">
      <c r="A77" s="245"/>
      <c r="B77" s="245"/>
      <c r="C77" s="245"/>
      <c r="D77" s="245"/>
      <c r="E77" s="245"/>
      <c r="F77" s="245"/>
      <c r="G77" s="245"/>
      <c r="H77" s="245"/>
      <c r="I77" s="245"/>
      <c r="J77" s="245"/>
      <c r="K77" s="245"/>
      <c r="L77" s="245"/>
      <c r="M77" s="245"/>
      <c r="N77" s="245"/>
      <c r="O77" s="245"/>
      <c r="P77" s="245"/>
      <c r="Q77" s="245"/>
      <c r="R77" s="245"/>
      <c r="S77" s="245"/>
      <c r="T77" s="245"/>
      <c r="U77" s="245"/>
      <c r="V77" s="245"/>
      <c r="W77" s="245"/>
      <c r="X77" s="245"/>
      <c r="Y77" s="245"/>
      <c r="Z77" s="245"/>
      <c r="AA77" s="252"/>
    </row>
    <row r="78" spans="1:27" ht="30" customHeight="1" x14ac:dyDescent="0.25">
      <c r="A78" s="245"/>
      <c r="B78" s="245"/>
      <c r="C78" s="245"/>
      <c r="D78" s="245"/>
      <c r="E78" s="245"/>
      <c r="F78" s="245"/>
      <c r="G78" s="245"/>
      <c r="H78" s="245"/>
      <c r="I78" s="245"/>
      <c r="J78" s="245"/>
      <c r="K78" s="245"/>
      <c r="L78" s="245"/>
      <c r="M78" s="245"/>
      <c r="N78" s="245"/>
      <c r="O78" s="245"/>
      <c r="P78" s="245"/>
      <c r="Q78" s="245"/>
      <c r="R78" s="245"/>
      <c r="S78" s="245"/>
      <c r="T78" s="245"/>
      <c r="U78" s="245"/>
      <c r="V78" s="245"/>
      <c r="W78" s="245"/>
      <c r="X78" s="245"/>
      <c r="Y78" s="245"/>
      <c r="Z78" s="245"/>
      <c r="AA78" s="252"/>
    </row>
    <row r="79" spans="1:27" ht="30" customHeight="1" x14ac:dyDescent="0.25">
      <c r="A79" s="245"/>
      <c r="B79" s="245"/>
      <c r="C79" s="245"/>
      <c r="D79" s="245"/>
      <c r="E79" s="245"/>
      <c r="F79" s="245"/>
      <c r="G79" s="245"/>
      <c r="H79" s="245"/>
      <c r="I79" s="245"/>
      <c r="J79" s="245"/>
      <c r="K79" s="245"/>
      <c r="L79" s="245"/>
      <c r="M79" s="245"/>
      <c r="N79" s="245"/>
      <c r="O79" s="245"/>
      <c r="P79" s="245"/>
      <c r="Q79" s="245"/>
      <c r="R79" s="245"/>
      <c r="S79" s="245"/>
      <c r="T79" s="245"/>
      <c r="U79" s="245"/>
      <c r="V79" s="245"/>
      <c r="W79" s="245"/>
      <c r="X79" s="245"/>
      <c r="Y79" s="245"/>
      <c r="Z79" s="245"/>
      <c r="AA79" s="252"/>
    </row>
    <row r="80" spans="1:27" ht="30" customHeight="1" x14ac:dyDescent="0.25">
      <c r="A80" s="245"/>
      <c r="B80" s="245"/>
      <c r="C80" s="245"/>
      <c r="D80" s="245"/>
      <c r="E80" s="245"/>
      <c r="F80" s="245"/>
      <c r="G80" s="245"/>
      <c r="H80" s="245"/>
      <c r="I80" s="245"/>
      <c r="J80" s="245"/>
      <c r="K80" s="245"/>
      <c r="L80" s="245"/>
      <c r="M80" s="245"/>
      <c r="N80" s="245"/>
      <c r="O80" s="245"/>
      <c r="P80" s="245"/>
      <c r="Q80" s="245"/>
      <c r="R80" s="245"/>
      <c r="S80" s="245"/>
      <c r="T80" s="245"/>
      <c r="U80" s="245"/>
      <c r="V80" s="245"/>
      <c r="W80" s="245"/>
      <c r="X80" s="245"/>
      <c r="Y80" s="245"/>
      <c r="Z80" s="245"/>
      <c r="AA80" s="252"/>
    </row>
    <row r="81" spans="1:27" ht="30" customHeight="1" x14ac:dyDescent="0.25">
      <c r="A81" s="245"/>
      <c r="B81" s="245"/>
      <c r="C81" s="245"/>
      <c r="D81" s="245"/>
      <c r="E81" s="245"/>
      <c r="F81" s="245"/>
      <c r="G81" s="245"/>
      <c r="H81" s="245"/>
      <c r="I81" s="245"/>
      <c r="J81" s="245"/>
      <c r="K81" s="245"/>
      <c r="L81" s="245"/>
      <c r="M81" s="245"/>
      <c r="N81" s="245"/>
      <c r="O81" s="245"/>
      <c r="P81" s="245"/>
      <c r="Q81" s="245"/>
      <c r="R81" s="245"/>
      <c r="S81" s="245"/>
      <c r="T81" s="245"/>
      <c r="U81" s="245"/>
      <c r="V81" s="245"/>
      <c r="W81" s="245"/>
      <c r="X81" s="245"/>
      <c r="Y81" s="245"/>
      <c r="Z81" s="245"/>
      <c r="AA81" s="252"/>
    </row>
    <row r="82" spans="1:27" ht="30" customHeight="1" x14ac:dyDescent="0.25">
      <c r="A82" s="245"/>
      <c r="B82" s="245"/>
      <c r="C82" s="245"/>
      <c r="D82" s="245"/>
      <c r="E82" s="245"/>
      <c r="F82" s="245"/>
      <c r="G82" s="245"/>
      <c r="H82" s="245"/>
      <c r="I82" s="245"/>
      <c r="J82" s="245"/>
      <c r="K82" s="245"/>
      <c r="L82" s="245"/>
      <c r="M82" s="245"/>
      <c r="N82" s="245"/>
      <c r="O82" s="245"/>
      <c r="P82" s="245"/>
      <c r="Q82" s="245"/>
      <c r="R82" s="245"/>
      <c r="S82" s="245"/>
      <c r="T82" s="245"/>
      <c r="U82" s="245"/>
      <c r="V82" s="245"/>
      <c r="W82" s="245"/>
      <c r="X82" s="245"/>
      <c r="Y82" s="245"/>
      <c r="Z82" s="245"/>
      <c r="AA82" s="252"/>
    </row>
    <row r="83" spans="1:27" ht="30" customHeight="1" x14ac:dyDescent="0.25">
      <c r="A83" s="245"/>
      <c r="B83" s="245"/>
      <c r="C83" s="245"/>
      <c r="D83" s="245"/>
      <c r="E83" s="245"/>
      <c r="F83" s="245"/>
      <c r="G83" s="245"/>
      <c r="H83" s="245"/>
      <c r="I83" s="245"/>
      <c r="J83" s="245"/>
      <c r="K83" s="245"/>
      <c r="L83" s="245"/>
      <c r="M83" s="245"/>
      <c r="N83" s="245"/>
      <c r="O83" s="245"/>
      <c r="P83" s="245"/>
      <c r="Q83" s="245"/>
      <c r="R83" s="245"/>
      <c r="S83" s="245"/>
      <c r="T83" s="245"/>
      <c r="U83" s="245"/>
      <c r="V83" s="245"/>
      <c r="W83" s="245"/>
      <c r="X83" s="245"/>
      <c r="Y83" s="245"/>
      <c r="Z83" s="245"/>
      <c r="AA83" s="252"/>
    </row>
    <row r="84" spans="1:27" ht="30" customHeight="1" x14ac:dyDescent="0.25">
      <c r="A84" s="245"/>
      <c r="B84" s="245"/>
      <c r="C84" s="245"/>
      <c r="D84" s="245"/>
      <c r="E84" s="245"/>
      <c r="F84" s="245"/>
      <c r="G84" s="245"/>
      <c r="H84" s="245"/>
      <c r="I84" s="245"/>
      <c r="J84" s="245"/>
      <c r="K84" s="245"/>
      <c r="L84" s="245"/>
      <c r="M84" s="245"/>
      <c r="N84" s="245"/>
      <c r="O84" s="245"/>
      <c r="P84" s="245"/>
      <c r="Q84" s="245"/>
      <c r="R84" s="245"/>
      <c r="S84" s="245"/>
      <c r="T84" s="245"/>
      <c r="U84" s="245"/>
      <c r="V84" s="245"/>
      <c r="W84" s="245"/>
      <c r="X84" s="245"/>
      <c r="Y84" s="245"/>
      <c r="Z84" s="245"/>
      <c r="AA84" s="252"/>
    </row>
    <row r="85" spans="1:27" ht="30" customHeight="1" x14ac:dyDescent="0.25">
      <c r="A85" s="245"/>
      <c r="B85" s="245"/>
      <c r="C85" s="245"/>
      <c r="D85" s="245"/>
      <c r="E85" s="245"/>
      <c r="F85" s="245"/>
      <c r="G85" s="245"/>
      <c r="H85" s="245"/>
      <c r="I85" s="245"/>
      <c r="J85" s="245"/>
      <c r="K85" s="245"/>
      <c r="L85" s="245"/>
      <c r="M85" s="245"/>
      <c r="N85" s="245"/>
      <c r="O85" s="245"/>
      <c r="P85" s="245"/>
      <c r="Q85" s="245"/>
      <c r="R85" s="245"/>
      <c r="S85" s="245"/>
      <c r="T85" s="245"/>
      <c r="U85" s="245"/>
      <c r="V85" s="245"/>
      <c r="W85" s="245"/>
      <c r="X85" s="245"/>
      <c r="Y85" s="245"/>
      <c r="Z85" s="245"/>
      <c r="AA85" s="252"/>
    </row>
    <row r="86" spans="1:27" ht="30" customHeight="1" x14ac:dyDescent="0.25">
      <c r="A86" s="245"/>
      <c r="B86" s="245"/>
      <c r="C86" s="245"/>
      <c r="D86" s="245"/>
      <c r="E86" s="245"/>
      <c r="F86" s="245"/>
      <c r="G86" s="245"/>
      <c r="H86" s="245"/>
      <c r="I86" s="245"/>
      <c r="J86" s="245"/>
      <c r="K86" s="245"/>
      <c r="L86" s="245"/>
      <c r="M86" s="245"/>
      <c r="N86" s="245"/>
      <c r="O86" s="245"/>
      <c r="P86" s="245"/>
      <c r="Q86" s="245"/>
      <c r="R86" s="245"/>
      <c r="S86" s="245"/>
      <c r="T86" s="245"/>
      <c r="U86" s="245"/>
      <c r="V86" s="245"/>
      <c r="W86" s="245"/>
      <c r="X86" s="245"/>
      <c r="Y86" s="245"/>
      <c r="Z86" s="245"/>
      <c r="AA86" s="252"/>
    </row>
    <row r="87" spans="1:27" ht="30" customHeight="1" x14ac:dyDescent="0.25">
      <c r="A87" s="245"/>
      <c r="B87" s="245"/>
      <c r="C87" s="245"/>
      <c r="D87" s="245"/>
      <c r="E87" s="245"/>
      <c r="F87" s="245"/>
      <c r="G87" s="245"/>
      <c r="H87" s="245"/>
      <c r="I87" s="245"/>
      <c r="J87" s="245"/>
      <c r="K87" s="245"/>
      <c r="L87" s="245"/>
      <c r="M87" s="245"/>
      <c r="N87" s="245"/>
      <c r="O87" s="245"/>
      <c r="P87" s="245"/>
      <c r="Q87" s="245"/>
      <c r="R87" s="245"/>
      <c r="S87" s="245"/>
      <c r="T87" s="245"/>
      <c r="U87" s="245"/>
      <c r="V87" s="245"/>
      <c r="W87" s="245"/>
      <c r="X87" s="245"/>
      <c r="Y87" s="245"/>
      <c r="Z87" s="245"/>
      <c r="AA87" s="252"/>
    </row>
    <row r="88" spans="1:27" ht="30" customHeight="1" x14ac:dyDescent="0.25">
      <c r="A88" s="245"/>
      <c r="B88" s="245"/>
      <c r="C88" s="245"/>
      <c r="D88" s="245"/>
      <c r="E88" s="245"/>
      <c r="F88" s="245"/>
      <c r="G88" s="245"/>
      <c r="H88" s="245"/>
      <c r="I88" s="245"/>
      <c r="J88" s="245"/>
      <c r="K88" s="245"/>
      <c r="L88" s="245"/>
      <c r="M88" s="245"/>
      <c r="N88" s="245"/>
      <c r="O88" s="245"/>
      <c r="P88" s="245"/>
      <c r="Q88" s="245"/>
      <c r="R88" s="245"/>
      <c r="S88" s="245"/>
      <c r="T88" s="245"/>
      <c r="U88" s="245"/>
      <c r="V88" s="245"/>
      <c r="W88" s="245"/>
      <c r="X88" s="245"/>
      <c r="Y88" s="245"/>
      <c r="Z88" s="245"/>
      <c r="AA88" s="252"/>
    </row>
    <row r="89" spans="1:27" ht="30" customHeight="1" x14ac:dyDescent="0.25">
      <c r="A89" s="245"/>
      <c r="B89" s="245"/>
      <c r="C89" s="245"/>
      <c r="D89" s="245"/>
      <c r="E89" s="245"/>
      <c r="F89" s="245"/>
      <c r="G89" s="245"/>
      <c r="H89" s="245"/>
      <c r="I89" s="245"/>
      <c r="J89" s="245"/>
      <c r="K89" s="245"/>
      <c r="L89" s="245"/>
      <c r="M89" s="245"/>
      <c r="N89" s="245"/>
      <c r="O89" s="245"/>
      <c r="P89" s="245"/>
      <c r="Q89" s="245"/>
      <c r="R89" s="245"/>
      <c r="S89" s="245"/>
      <c r="T89" s="245"/>
      <c r="U89" s="245"/>
      <c r="V89" s="245"/>
      <c r="W89" s="245"/>
      <c r="X89" s="245"/>
      <c r="Y89" s="245"/>
      <c r="Z89" s="245"/>
      <c r="AA89" s="252"/>
    </row>
    <row r="90" spans="1:27" ht="30" customHeight="1" x14ac:dyDescent="0.25">
      <c r="A90" s="245"/>
      <c r="B90" s="245"/>
      <c r="C90" s="245"/>
      <c r="D90" s="245"/>
      <c r="E90" s="245"/>
      <c r="F90" s="245"/>
      <c r="G90" s="245"/>
      <c r="H90" s="245"/>
      <c r="I90" s="245"/>
      <c r="J90" s="245"/>
      <c r="K90" s="245"/>
      <c r="L90" s="245"/>
      <c r="M90" s="245"/>
      <c r="N90" s="245"/>
      <c r="O90" s="245"/>
      <c r="P90" s="245"/>
      <c r="Q90" s="245"/>
      <c r="R90" s="245"/>
      <c r="S90" s="245"/>
      <c r="T90" s="245"/>
      <c r="U90" s="245"/>
      <c r="V90" s="245"/>
      <c r="W90" s="245"/>
      <c r="X90" s="245"/>
      <c r="Y90" s="245"/>
      <c r="Z90" s="245"/>
      <c r="AA90" s="252"/>
    </row>
    <row r="91" spans="1:27" ht="30" customHeight="1" x14ac:dyDescent="0.25">
      <c r="A91" s="245"/>
      <c r="B91" s="245"/>
      <c r="C91" s="245"/>
      <c r="D91" s="245"/>
      <c r="E91" s="245"/>
      <c r="F91" s="245"/>
      <c r="G91" s="245"/>
      <c r="H91" s="245"/>
      <c r="I91" s="245"/>
      <c r="J91" s="245"/>
      <c r="K91" s="245"/>
      <c r="L91" s="245"/>
      <c r="M91" s="245"/>
      <c r="N91" s="245"/>
      <c r="O91" s="245"/>
      <c r="P91" s="245"/>
      <c r="Q91" s="245"/>
      <c r="R91" s="245"/>
      <c r="S91" s="245"/>
      <c r="T91" s="245"/>
      <c r="U91" s="245"/>
      <c r="V91" s="245"/>
      <c r="W91" s="245"/>
      <c r="X91" s="245"/>
      <c r="Y91" s="245"/>
      <c r="Z91" s="245"/>
      <c r="AA91" s="252"/>
    </row>
    <row r="92" spans="1:27" ht="30" customHeight="1" x14ac:dyDescent="0.25">
      <c r="A92" s="245"/>
      <c r="B92" s="245"/>
      <c r="C92" s="245"/>
      <c r="D92" s="245"/>
      <c r="E92" s="245"/>
      <c r="F92" s="245"/>
      <c r="G92" s="245"/>
      <c r="H92" s="245"/>
      <c r="I92" s="245"/>
      <c r="J92" s="245"/>
      <c r="K92" s="245"/>
      <c r="L92" s="245"/>
      <c r="M92" s="245"/>
      <c r="N92" s="245"/>
      <c r="O92" s="245"/>
      <c r="P92" s="245"/>
      <c r="Q92" s="245"/>
      <c r="R92" s="245"/>
      <c r="S92" s="245"/>
      <c r="T92" s="245"/>
      <c r="U92" s="245"/>
      <c r="V92" s="245"/>
      <c r="W92" s="245"/>
      <c r="X92" s="245"/>
      <c r="Y92" s="245"/>
      <c r="Z92" s="245"/>
      <c r="AA92" s="252"/>
    </row>
    <row r="93" spans="1:27" ht="30" customHeight="1" x14ac:dyDescent="0.25">
      <c r="A93" s="245"/>
      <c r="B93" s="245"/>
      <c r="C93" s="245"/>
      <c r="D93" s="245"/>
      <c r="E93" s="245"/>
      <c r="F93" s="245"/>
      <c r="G93" s="245"/>
      <c r="H93" s="245"/>
      <c r="I93" s="245"/>
      <c r="J93" s="245"/>
      <c r="K93" s="245"/>
      <c r="L93" s="245"/>
      <c r="M93" s="245"/>
      <c r="N93" s="245"/>
      <c r="O93" s="245"/>
      <c r="P93" s="245"/>
      <c r="Q93" s="245"/>
      <c r="R93" s="245"/>
      <c r="S93" s="245"/>
      <c r="T93" s="245"/>
      <c r="U93" s="245"/>
      <c r="V93" s="245"/>
      <c r="W93" s="245"/>
      <c r="X93" s="245"/>
      <c r="Y93" s="245"/>
      <c r="Z93" s="245"/>
      <c r="AA93" s="252"/>
    </row>
    <row r="94" spans="1:27" ht="30" customHeight="1" x14ac:dyDescent="0.25">
      <c r="A94" s="245"/>
      <c r="B94" s="245"/>
      <c r="C94" s="245"/>
      <c r="D94" s="245"/>
      <c r="E94" s="245"/>
      <c r="F94" s="245"/>
      <c r="G94" s="245"/>
      <c r="H94" s="245"/>
      <c r="I94" s="245"/>
      <c r="J94" s="245"/>
      <c r="K94" s="245"/>
      <c r="L94" s="245"/>
      <c r="M94" s="245"/>
      <c r="N94" s="245"/>
      <c r="O94" s="245"/>
      <c r="P94" s="245"/>
      <c r="Q94" s="245"/>
      <c r="R94" s="245"/>
      <c r="S94" s="245"/>
      <c r="T94" s="245"/>
      <c r="U94" s="245"/>
      <c r="V94" s="245"/>
      <c r="W94" s="245"/>
      <c r="X94" s="245"/>
      <c r="Y94" s="245"/>
      <c r="Z94" s="245"/>
      <c r="AA94" s="252"/>
    </row>
    <row r="95" spans="1:27" ht="30" customHeight="1" x14ac:dyDescent="0.25">
      <c r="A95" s="245"/>
      <c r="B95" s="245"/>
      <c r="C95" s="245"/>
      <c r="D95" s="245"/>
      <c r="E95" s="245"/>
      <c r="F95" s="245"/>
      <c r="G95" s="245"/>
      <c r="H95" s="245"/>
      <c r="I95" s="245"/>
      <c r="J95" s="245"/>
      <c r="K95" s="245"/>
      <c r="L95" s="245"/>
      <c r="M95" s="245"/>
      <c r="N95" s="245"/>
      <c r="O95" s="245"/>
      <c r="P95" s="245"/>
      <c r="Q95" s="245"/>
      <c r="R95" s="245"/>
      <c r="S95" s="245"/>
      <c r="T95" s="245"/>
      <c r="U95" s="245"/>
      <c r="V95" s="245"/>
      <c r="W95" s="245"/>
      <c r="X95" s="245"/>
      <c r="Y95" s="245"/>
      <c r="Z95" s="245"/>
      <c r="AA95" s="252"/>
    </row>
    <row r="96" spans="1:27" ht="30" customHeight="1" x14ac:dyDescent="0.25">
      <c r="A96" s="245"/>
      <c r="B96" s="245"/>
      <c r="C96" s="245"/>
      <c r="D96" s="245"/>
      <c r="E96" s="245"/>
      <c r="F96" s="245"/>
      <c r="G96" s="245"/>
      <c r="H96" s="245"/>
      <c r="I96" s="245"/>
      <c r="J96" s="245"/>
      <c r="K96" s="245"/>
      <c r="L96" s="245"/>
      <c r="M96" s="245"/>
      <c r="N96" s="245"/>
      <c r="O96" s="245"/>
      <c r="P96" s="245"/>
      <c r="Q96" s="245"/>
      <c r="R96" s="245"/>
      <c r="S96" s="245"/>
      <c r="T96" s="245"/>
      <c r="U96" s="245"/>
      <c r="V96" s="245"/>
      <c r="W96" s="245"/>
      <c r="X96" s="245"/>
      <c r="Y96" s="245"/>
      <c r="Z96" s="245"/>
      <c r="AA96" s="252"/>
    </row>
    <row r="97" spans="1:27" ht="30" customHeight="1" x14ac:dyDescent="0.25">
      <c r="A97" s="245"/>
      <c r="B97" s="245"/>
      <c r="C97" s="245"/>
      <c r="D97" s="245"/>
      <c r="E97" s="245"/>
      <c r="F97" s="245"/>
      <c r="G97" s="245"/>
      <c r="H97" s="245"/>
      <c r="I97" s="245"/>
      <c r="J97" s="245"/>
      <c r="K97" s="245"/>
      <c r="L97" s="245"/>
      <c r="M97" s="245"/>
      <c r="N97" s="245"/>
      <c r="O97" s="245"/>
      <c r="P97" s="245"/>
      <c r="Q97" s="245"/>
      <c r="R97" s="245"/>
      <c r="S97" s="245"/>
      <c r="T97" s="245"/>
      <c r="U97" s="245"/>
      <c r="V97" s="245"/>
      <c r="W97" s="245"/>
      <c r="X97" s="245"/>
      <c r="Y97" s="245"/>
      <c r="Z97" s="245"/>
      <c r="AA97" s="252"/>
    </row>
    <row r="98" spans="1:27" ht="30" customHeight="1" x14ac:dyDescent="0.25">
      <c r="A98" s="245"/>
      <c r="B98" s="245"/>
      <c r="C98" s="245"/>
      <c r="D98" s="245"/>
      <c r="E98" s="245"/>
      <c r="F98" s="245"/>
      <c r="G98" s="245"/>
      <c r="H98" s="245"/>
      <c r="I98" s="245"/>
      <c r="J98" s="245"/>
      <c r="K98" s="245"/>
      <c r="L98" s="245"/>
      <c r="M98" s="245"/>
      <c r="N98" s="245"/>
      <c r="O98" s="245"/>
      <c r="P98" s="245"/>
      <c r="Q98" s="245"/>
      <c r="R98" s="245"/>
      <c r="S98" s="245"/>
      <c r="T98" s="245"/>
      <c r="U98" s="245"/>
      <c r="V98" s="245"/>
      <c r="W98" s="245"/>
      <c r="X98" s="245"/>
      <c r="Y98" s="245"/>
      <c r="Z98" s="245"/>
      <c r="AA98" s="252"/>
    </row>
    <row r="99" spans="1:27" ht="30" customHeight="1" x14ac:dyDescent="0.25">
      <c r="A99" s="245"/>
      <c r="B99" s="245"/>
      <c r="C99" s="245"/>
      <c r="D99" s="245"/>
      <c r="E99" s="245"/>
      <c r="F99" s="245"/>
      <c r="G99" s="245"/>
      <c r="H99" s="245"/>
      <c r="I99" s="245"/>
      <c r="J99" s="245"/>
      <c r="K99" s="245"/>
      <c r="L99" s="245"/>
      <c r="M99" s="245"/>
      <c r="N99" s="245"/>
      <c r="O99" s="245"/>
      <c r="P99" s="245"/>
      <c r="Q99" s="245"/>
      <c r="R99" s="245"/>
      <c r="S99" s="245"/>
      <c r="T99" s="245"/>
      <c r="U99" s="245"/>
      <c r="V99" s="245"/>
      <c r="W99" s="245"/>
      <c r="X99" s="245"/>
      <c r="Y99" s="245"/>
      <c r="Z99" s="245"/>
      <c r="AA99" s="252"/>
    </row>
    <row r="100" spans="1:27" ht="30" customHeight="1" x14ac:dyDescent="0.25">
      <c r="A100" s="245"/>
      <c r="B100" s="245"/>
      <c r="C100" s="245"/>
      <c r="D100" s="245"/>
      <c r="E100" s="245"/>
      <c r="F100" s="245"/>
      <c r="G100" s="245"/>
      <c r="H100" s="245"/>
      <c r="I100" s="245"/>
      <c r="J100" s="245"/>
      <c r="K100" s="245"/>
      <c r="L100" s="245"/>
      <c r="M100" s="245"/>
      <c r="N100" s="245"/>
      <c r="O100" s="245"/>
      <c r="P100" s="245"/>
      <c r="Q100" s="245"/>
      <c r="R100" s="245"/>
      <c r="S100" s="245"/>
      <c r="T100" s="245"/>
      <c r="U100" s="245"/>
      <c r="V100" s="245"/>
      <c r="W100" s="245"/>
      <c r="X100" s="245"/>
      <c r="Y100" s="245"/>
      <c r="Z100" s="245"/>
      <c r="AA100" s="309"/>
    </row>
    <row r="101" spans="1:27" ht="15" customHeight="1" x14ac:dyDescent="0.25"/>
  </sheetData>
  <sheetProtection password="F965" sheet="1" objects="1" scenarios="1" selectLockedCells="1" selectUnlockedCells="1"/>
  <conditionalFormatting sqref="AA2:AA100 T2:T7 I11:Z100 U2:Z10 A2:B100">
    <cfRule type="expression" dxfId="70" priority="107">
      <formula>ISBLANK($A1)=FALSE</formula>
    </cfRule>
    <cfRule type="expression" dxfId="69" priority="108">
      <formula>ISBLANK($A2)</formula>
    </cfRule>
  </conditionalFormatting>
  <conditionalFormatting sqref="C11:H100 H2:H10 C2:C10">
    <cfRule type="expression" dxfId="68" priority="101">
      <formula>ISBLANK($A1)=FALSE</formula>
    </cfRule>
    <cfRule type="expression" dxfId="67" priority="102">
      <formula>ISBLANK($A2)</formula>
    </cfRule>
  </conditionalFormatting>
  <conditionalFormatting sqref="T8">
    <cfRule type="expression" dxfId="66" priority="99">
      <formula>ISBLANK($A7)=FALSE</formula>
    </cfRule>
    <cfRule type="expression" dxfId="65" priority="100">
      <formula>ISBLANK($A8)</formula>
    </cfRule>
  </conditionalFormatting>
  <conditionalFormatting sqref="T9">
    <cfRule type="expression" dxfId="64" priority="95">
      <formula>ISBLANK($A8)=FALSE</formula>
    </cfRule>
    <cfRule type="expression" dxfId="63" priority="96">
      <formula>ISBLANK($A9)</formula>
    </cfRule>
  </conditionalFormatting>
  <conditionalFormatting sqref="T10">
    <cfRule type="expression" dxfId="62" priority="91">
      <formula>ISBLANK($A9)=FALSE</formula>
    </cfRule>
    <cfRule type="expression" dxfId="61" priority="92">
      <formula>ISBLANK($A10)</formula>
    </cfRule>
  </conditionalFormatting>
  <conditionalFormatting sqref="N2:N10">
    <cfRule type="expression" dxfId="60" priority="21">
      <formula>ISBLANK($A1)=FALSE</formula>
    </cfRule>
    <cfRule type="expression" dxfId="59" priority="22">
      <formula>ISBLANK($A2)</formula>
    </cfRule>
  </conditionalFormatting>
  <conditionalFormatting sqref="D2:D10">
    <cfRule type="expression" dxfId="58" priority="15">
      <formula>ISBLANK($A1)=FALSE</formula>
    </cfRule>
    <cfRule type="expression" dxfId="57" priority="16">
      <formula>ISBLANK($A2)</formula>
    </cfRule>
  </conditionalFormatting>
  <conditionalFormatting sqref="E2:G10">
    <cfRule type="expression" dxfId="56" priority="13">
      <formula>ISBLANK($A1)=FALSE</formula>
    </cfRule>
    <cfRule type="expression" dxfId="55" priority="14">
      <formula>ISBLANK($A2)</formula>
    </cfRule>
  </conditionalFormatting>
  <conditionalFormatting sqref="I2:M10">
    <cfRule type="expression" dxfId="54" priority="11">
      <formula>ISBLANK($A1)=FALSE</formula>
    </cfRule>
    <cfRule type="expression" dxfId="53" priority="12">
      <formula>ISBLANK($A2)</formula>
    </cfRule>
  </conditionalFormatting>
  <conditionalFormatting sqref="J2:J10">
    <cfRule type="expression" dxfId="52" priority="9">
      <formula>ISBLANK($A1)=FALSE</formula>
    </cfRule>
    <cfRule type="expression" dxfId="51" priority="10">
      <formula>ISBLANK($A2)</formula>
    </cfRule>
  </conditionalFormatting>
  <conditionalFormatting sqref="K2:M10">
    <cfRule type="expression" dxfId="50" priority="7">
      <formula>ISBLANK($A1)=FALSE</formula>
    </cfRule>
    <cfRule type="expression" dxfId="49" priority="8">
      <formula>ISBLANK($A2)</formula>
    </cfRule>
  </conditionalFormatting>
  <conditionalFormatting sqref="O2:O10">
    <cfRule type="expression" dxfId="48" priority="5">
      <formula>ISBLANK($A1)=FALSE</formula>
    </cfRule>
    <cfRule type="expression" dxfId="47" priority="6">
      <formula>ISBLANK($A2)</formula>
    </cfRule>
  </conditionalFormatting>
  <conditionalFormatting sqref="P2:P10">
    <cfRule type="expression" dxfId="46" priority="3">
      <formula>ISBLANK($A1)=FALSE</formula>
    </cfRule>
    <cfRule type="expression" dxfId="45" priority="4">
      <formula>ISBLANK($A2)</formula>
    </cfRule>
  </conditionalFormatting>
  <conditionalFormatting sqref="Q2:S10">
    <cfRule type="expression" dxfId="44" priority="1">
      <formula>ISBLANK($A1)=FALSE</formula>
    </cfRule>
    <cfRule type="expression" dxfId="43" priority="2">
      <formula>ISBLANK($A2)</formula>
    </cfRule>
  </conditionalFormatting>
  <pageMargins left="0.7" right="0.7" top="0.75" bottom="0.75" header="0.3" footer="0.3"/>
  <pageSetup orientation="portrait" horizontalDpi="300" verticalDpi="30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1:O49"/>
  <sheetViews>
    <sheetView zoomScale="115" workbookViewId="0">
      <selection activeCell="C16" sqref="C16"/>
    </sheetView>
  </sheetViews>
  <sheetFormatPr defaultColWidth="9.109375" defaultRowHeight="13.2" x14ac:dyDescent="0.25"/>
  <cols>
    <col min="1" max="6" width="13.33203125" style="8" customWidth="1"/>
    <col min="7" max="7" width="4.6640625" style="358" customWidth="1"/>
    <col min="8" max="17" width="13.33203125" style="8" customWidth="1"/>
    <col min="18" max="16384" width="9.109375" style="8"/>
  </cols>
  <sheetData>
    <row r="1" spans="1:15" s="2" customFormat="1" x14ac:dyDescent="0.25">
      <c r="A1" s="2" t="s">
        <v>454</v>
      </c>
      <c r="B1" s="2" t="s">
        <v>446</v>
      </c>
      <c r="C1" s="2" t="s">
        <v>457</v>
      </c>
      <c r="D1" s="2" t="s">
        <v>471</v>
      </c>
      <c r="E1" s="2" t="s">
        <v>473</v>
      </c>
      <c r="F1" s="2" t="s">
        <v>591</v>
      </c>
      <c r="G1" s="356" t="s">
        <v>634</v>
      </c>
      <c r="H1" s="356"/>
      <c r="I1" s="356"/>
      <c r="N1" s="2" t="s">
        <v>703</v>
      </c>
      <c r="O1" s="2" t="s">
        <v>709</v>
      </c>
    </row>
    <row r="2" spans="1:15" s="279" customFormat="1" ht="12.75" customHeight="1" x14ac:dyDescent="0.25">
      <c r="A2" s="280" t="s">
        <v>455</v>
      </c>
      <c r="B2" s="279" t="s">
        <v>456</v>
      </c>
      <c r="C2" s="279" t="s">
        <v>470</v>
      </c>
      <c r="D2" s="279" t="s">
        <v>472</v>
      </c>
      <c r="E2" s="279" t="s">
        <v>474</v>
      </c>
      <c r="F2" s="279" t="s">
        <v>592</v>
      </c>
      <c r="G2" s="357" t="s">
        <v>649</v>
      </c>
      <c r="H2" s="279" t="s">
        <v>647</v>
      </c>
      <c r="I2" s="279" t="s">
        <v>648</v>
      </c>
      <c r="J2" s="359" t="s">
        <v>574</v>
      </c>
      <c r="K2" s="359" t="s">
        <v>635</v>
      </c>
      <c r="L2" s="359" t="s">
        <v>636</v>
      </c>
      <c r="M2" s="359" t="s">
        <v>639</v>
      </c>
      <c r="N2" s="279" t="s">
        <v>704</v>
      </c>
      <c r="O2" s="279" t="s">
        <v>710</v>
      </c>
    </row>
    <row r="3" spans="1:15" ht="12.75" customHeight="1" x14ac:dyDescent="0.25">
      <c r="B3" s="344" t="s">
        <v>447</v>
      </c>
      <c r="C3" s="344" t="s">
        <v>458</v>
      </c>
      <c r="D3" s="343" t="s">
        <v>182</v>
      </c>
      <c r="E3" s="343" t="s">
        <v>14</v>
      </c>
      <c r="F3" s="345"/>
      <c r="G3" s="357">
        <v>1</v>
      </c>
      <c r="H3" s="279" t="s">
        <v>27</v>
      </c>
      <c r="I3" s="279" t="s">
        <v>641</v>
      </c>
      <c r="J3" s="360">
        <v>-1</v>
      </c>
      <c r="K3" s="360">
        <v>2</v>
      </c>
      <c r="L3" s="360">
        <v>1</v>
      </c>
      <c r="M3" s="361">
        <v>0</v>
      </c>
      <c r="N3" s="382" t="s">
        <v>705</v>
      </c>
      <c r="O3" s="359" t="s">
        <v>711</v>
      </c>
    </row>
    <row r="4" spans="1:15" ht="12.75" customHeight="1" x14ac:dyDescent="0.25">
      <c r="B4" s="344" t="s">
        <v>448</v>
      </c>
      <c r="C4" s="344" t="s">
        <v>459</v>
      </c>
      <c r="D4" s="343"/>
      <c r="E4" s="343"/>
      <c r="F4" s="345"/>
      <c r="G4" s="358">
        <v>2</v>
      </c>
      <c r="H4" s="8" t="s">
        <v>15</v>
      </c>
      <c r="I4" s="279" t="s">
        <v>641</v>
      </c>
      <c r="J4" s="360">
        <v>-1</v>
      </c>
      <c r="K4" s="360">
        <v>0.5</v>
      </c>
      <c r="L4" s="361">
        <v>0.2</v>
      </c>
      <c r="M4" s="361">
        <v>0</v>
      </c>
      <c r="N4" s="382" t="s">
        <v>706</v>
      </c>
      <c r="O4" s="359" t="s">
        <v>712</v>
      </c>
    </row>
    <row r="5" spans="1:15" ht="12.75" customHeight="1" x14ac:dyDescent="0.25">
      <c r="B5" s="344" t="s">
        <v>449</v>
      </c>
      <c r="C5" s="344" t="s">
        <v>460</v>
      </c>
      <c r="D5" s="343"/>
      <c r="E5" s="343"/>
      <c r="F5" s="345"/>
      <c r="G5" s="358">
        <v>3</v>
      </c>
      <c r="H5" s="8" t="s">
        <v>232</v>
      </c>
      <c r="I5" s="279" t="s">
        <v>641</v>
      </c>
      <c r="J5" s="360">
        <v>2</v>
      </c>
      <c r="K5" s="360">
        <v>0</v>
      </c>
      <c r="L5" s="360">
        <v>-1</v>
      </c>
      <c r="M5" s="361">
        <v>0</v>
      </c>
      <c r="N5" s="382" t="s">
        <v>707</v>
      </c>
      <c r="O5" s="359" t="s">
        <v>713</v>
      </c>
    </row>
    <row r="6" spans="1:15" ht="12.75" customHeight="1" x14ac:dyDescent="0.25">
      <c r="B6" s="344" t="s">
        <v>450</v>
      </c>
      <c r="C6" s="344" t="s">
        <v>461</v>
      </c>
      <c r="D6" s="343"/>
      <c r="E6" s="343"/>
      <c r="F6" s="345"/>
      <c r="G6" s="358">
        <v>4</v>
      </c>
      <c r="H6" s="8" t="s">
        <v>228</v>
      </c>
      <c r="I6" s="279" t="s">
        <v>641</v>
      </c>
      <c r="J6" s="361">
        <v>1</v>
      </c>
      <c r="K6" s="361">
        <v>0</v>
      </c>
      <c r="L6" s="361">
        <v>0</v>
      </c>
      <c r="M6" s="361">
        <v>0</v>
      </c>
      <c r="N6"/>
      <c r="O6" s="359" t="s">
        <v>714</v>
      </c>
    </row>
    <row r="7" spans="1:15" ht="12.75" customHeight="1" x14ac:dyDescent="0.25">
      <c r="B7" s="344" t="s">
        <v>451</v>
      </c>
      <c r="C7" s="344" t="s">
        <v>462</v>
      </c>
      <c r="D7" s="343"/>
      <c r="E7" s="343"/>
      <c r="F7" s="345"/>
      <c r="G7" s="358">
        <v>5</v>
      </c>
      <c r="H7" s="8" t="s">
        <v>16</v>
      </c>
      <c r="I7" s="279" t="s">
        <v>641</v>
      </c>
      <c r="J7" s="360">
        <v>3</v>
      </c>
      <c r="K7" s="360">
        <v>0</v>
      </c>
      <c r="L7" s="360">
        <v>0</v>
      </c>
      <c r="M7" s="361">
        <v>0</v>
      </c>
      <c r="N7"/>
      <c r="O7" s="359" t="s">
        <v>715</v>
      </c>
    </row>
    <row r="8" spans="1:15" ht="12.75" customHeight="1" x14ac:dyDescent="0.25">
      <c r="B8" s="344" t="s">
        <v>452</v>
      </c>
      <c r="C8" s="344" t="s">
        <v>463</v>
      </c>
      <c r="E8" s="343"/>
      <c r="F8" s="345"/>
      <c r="G8" s="358">
        <v>6</v>
      </c>
      <c r="H8" s="8" t="s">
        <v>17</v>
      </c>
      <c r="I8" s="279" t="s">
        <v>641</v>
      </c>
      <c r="J8" s="360">
        <v>-1</v>
      </c>
      <c r="K8" s="360">
        <v>0</v>
      </c>
      <c r="L8" s="360">
        <v>0</v>
      </c>
      <c r="M8" s="361">
        <v>0</v>
      </c>
      <c r="N8"/>
      <c r="O8" s="359" t="s">
        <v>716</v>
      </c>
    </row>
    <row r="9" spans="1:15" ht="12.75" customHeight="1" x14ac:dyDescent="0.25">
      <c r="B9" s="344" t="s">
        <v>453</v>
      </c>
      <c r="C9" s="344" t="s">
        <v>464</v>
      </c>
      <c r="E9" s="343"/>
      <c r="F9" s="345"/>
      <c r="G9" s="358">
        <v>7</v>
      </c>
      <c r="H9" s="359" t="s">
        <v>643</v>
      </c>
      <c r="I9" s="279" t="s">
        <v>641</v>
      </c>
      <c r="J9" s="360">
        <v>1</v>
      </c>
      <c r="K9" s="360">
        <v>0</v>
      </c>
      <c r="L9" s="360">
        <v>0</v>
      </c>
      <c r="M9" s="361">
        <v>0</v>
      </c>
      <c r="N9"/>
    </row>
    <row r="10" spans="1:15" ht="12.75" customHeight="1" x14ac:dyDescent="0.25">
      <c r="B10" s="344"/>
      <c r="C10" s="344" t="s">
        <v>465</v>
      </c>
      <c r="E10" s="343"/>
      <c r="F10" s="345"/>
      <c r="G10" s="358">
        <v>8</v>
      </c>
      <c r="H10" s="8" t="s">
        <v>632</v>
      </c>
      <c r="I10" s="359" t="s">
        <v>642</v>
      </c>
      <c r="J10" s="360">
        <v>0</v>
      </c>
      <c r="K10" s="360">
        <v>2</v>
      </c>
      <c r="L10" s="360">
        <v>1</v>
      </c>
      <c r="M10" s="361">
        <v>0</v>
      </c>
      <c r="N10"/>
    </row>
    <row r="11" spans="1:15" ht="12.75" customHeight="1" x14ac:dyDescent="0.25">
      <c r="B11" s="344"/>
      <c r="C11" s="344" t="s">
        <v>466</v>
      </c>
      <c r="E11" s="343"/>
      <c r="F11" s="345"/>
      <c r="G11" s="358">
        <v>9</v>
      </c>
      <c r="H11" s="8" t="s">
        <v>633</v>
      </c>
      <c r="I11" s="359" t="s">
        <v>642</v>
      </c>
      <c r="J11" s="360">
        <v>0</v>
      </c>
      <c r="K11" s="360">
        <v>1.5</v>
      </c>
      <c r="L11" s="360">
        <v>0.5</v>
      </c>
      <c r="M11" s="361">
        <v>0</v>
      </c>
      <c r="N11"/>
    </row>
    <row r="12" spans="1:15" ht="12.75" customHeight="1" x14ac:dyDescent="0.25">
      <c r="B12" s="344"/>
      <c r="C12" s="344" t="s">
        <v>467</v>
      </c>
      <c r="F12" s="345"/>
      <c r="G12" s="358">
        <v>10</v>
      </c>
      <c r="H12" s="8" t="s">
        <v>631</v>
      </c>
      <c r="I12" s="359" t="s">
        <v>642</v>
      </c>
      <c r="J12" s="360">
        <v>0</v>
      </c>
      <c r="K12" s="360">
        <v>2</v>
      </c>
      <c r="L12" s="360">
        <v>1</v>
      </c>
      <c r="M12" s="361">
        <v>0</v>
      </c>
      <c r="N12"/>
    </row>
    <row r="13" spans="1:15" ht="12.75" customHeight="1" x14ac:dyDescent="0.25">
      <c r="B13" s="344"/>
      <c r="C13" s="344" t="s">
        <v>468</v>
      </c>
      <c r="F13" s="345"/>
      <c r="G13" s="358">
        <v>11</v>
      </c>
      <c r="H13" s="359" t="s">
        <v>644</v>
      </c>
      <c r="I13" s="359" t="s">
        <v>642</v>
      </c>
      <c r="J13" s="360">
        <v>0</v>
      </c>
      <c r="K13" s="360">
        <v>2</v>
      </c>
      <c r="L13" s="360">
        <v>1</v>
      </c>
      <c r="M13" s="361">
        <v>0</v>
      </c>
      <c r="N13"/>
    </row>
    <row r="14" spans="1:15" ht="12.75" customHeight="1" x14ac:dyDescent="0.25">
      <c r="B14" s="344"/>
      <c r="C14" s="344" t="s">
        <v>469</v>
      </c>
      <c r="F14" s="345"/>
      <c r="G14" s="358">
        <v>12</v>
      </c>
      <c r="H14" s="8" t="s">
        <v>20</v>
      </c>
      <c r="I14" s="359" t="s">
        <v>642</v>
      </c>
      <c r="J14" s="360">
        <v>0</v>
      </c>
      <c r="K14" s="360">
        <v>0.5</v>
      </c>
      <c r="L14" s="360">
        <v>0.2</v>
      </c>
      <c r="M14" s="361">
        <v>0</v>
      </c>
      <c r="N14"/>
    </row>
    <row r="15" spans="1:15" ht="12.75" customHeight="1" x14ac:dyDescent="0.25">
      <c r="F15" s="345"/>
      <c r="G15" s="358">
        <v>13</v>
      </c>
      <c r="H15" s="8" t="s">
        <v>21</v>
      </c>
      <c r="I15" s="359" t="s">
        <v>642</v>
      </c>
      <c r="J15" s="360">
        <v>0</v>
      </c>
      <c r="K15" s="360">
        <v>2</v>
      </c>
      <c r="L15" s="360">
        <v>1</v>
      </c>
      <c r="M15" s="361">
        <v>0</v>
      </c>
      <c r="N15"/>
    </row>
    <row r="16" spans="1:15" ht="12.75" customHeight="1" x14ac:dyDescent="0.25">
      <c r="F16" s="345"/>
      <c r="G16" s="358">
        <v>14</v>
      </c>
      <c r="H16" s="8" t="s">
        <v>22</v>
      </c>
      <c r="I16" s="359" t="s">
        <v>645</v>
      </c>
      <c r="J16" s="361">
        <v>0.5</v>
      </c>
      <c r="K16" s="361">
        <v>0</v>
      </c>
      <c r="L16" s="361">
        <v>-0.5</v>
      </c>
      <c r="M16" s="361">
        <v>0</v>
      </c>
      <c r="N16"/>
    </row>
    <row r="17" spans="6:14" ht="12.75" customHeight="1" x14ac:dyDescent="0.25">
      <c r="F17" s="345"/>
      <c r="G17" s="358">
        <v>15</v>
      </c>
      <c r="H17" s="8" t="s">
        <v>229</v>
      </c>
      <c r="I17" s="359" t="s">
        <v>645</v>
      </c>
      <c r="J17" s="361">
        <v>-3</v>
      </c>
      <c r="K17" s="361">
        <v>3</v>
      </c>
      <c r="L17" s="361">
        <v>3</v>
      </c>
      <c r="M17" s="361">
        <v>0</v>
      </c>
      <c r="N17"/>
    </row>
    <row r="18" spans="6:14" ht="12.75" customHeight="1" x14ac:dyDescent="0.25">
      <c r="F18" s="345"/>
      <c r="G18" s="358">
        <v>16</v>
      </c>
      <c r="H18" s="8" t="s">
        <v>230</v>
      </c>
      <c r="I18" s="359" t="s">
        <v>26</v>
      </c>
      <c r="J18" s="361">
        <v>2</v>
      </c>
      <c r="K18" s="361">
        <v>0</v>
      </c>
      <c r="L18" s="361">
        <v>1</v>
      </c>
      <c r="M18" s="361">
        <v>0</v>
      </c>
      <c r="N18"/>
    </row>
    <row r="19" spans="6:14" ht="12.75" customHeight="1" x14ac:dyDescent="0.25">
      <c r="F19" s="345"/>
      <c r="G19" s="358">
        <v>17</v>
      </c>
      <c r="H19" s="359" t="s">
        <v>637</v>
      </c>
      <c r="I19" s="359" t="s">
        <v>26</v>
      </c>
      <c r="J19" s="361">
        <v>0</v>
      </c>
      <c r="K19" s="361">
        <v>2</v>
      </c>
      <c r="L19" s="361">
        <v>1</v>
      </c>
      <c r="M19" s="361">
        <v>0</v>
      </c>
      <c r="N19"/>
    </row>
    <row r="20" spans="6:14" ht="12.75" customHeight="1" x14ac:dyDescent="0.25">
      <c r="F20" s="343"/>
      <c r="G20" s="358">
        <v>18</v>
      </c>
      <c r="H20" s="359" t="s">
        <v>638</v>
      </c>
      <c r="I20" s="359" t="s">
        <v>26</v>
      </c>
      <c r="J20" s="361">
        <v>0</v>
      </c>
      <c r="K20" s="361">
        <v>2</v>
      </c>
      <c r="L20" s="361">
        <v>1</v>
      </c>
      <c r="M20" s="361">
        <v>0</v>
      </c>
      <c r="N20"/>
    </row>
    <row r="21" spans="6:14" ht="12.75" customHeight="1" x14ac:dyDescent="0.25">
      <c r="F21" s="343"/>
      <c r="G21" s="358">
        <v>19</v>
      </c>
      <c r="H21" s="8" t="s">
        <v>23</v>
      </c>
      <c r="I21" s="359" t="s">
        <v>646</v>
      </c>
      <c r="J21" s="360">
        <v>0</v>
      </c>
      <c r="K21" s="360">
        <v>3</v>
      </c>
      <c r="L21" s="360">
        <v>1</v>
      </c>
      <c r="M21" s="361">
        <v>0</v>
      </c>
      <c r="N21"/>
    </row>
    <row r="22" spans="6:14" ht="12.75" customHeight="1" x14ac:dyDescent="0.25">
      <c r="F22" s="343"/>
      <c r="G22" s="358">
        <v>20</v>
      </c>
      <c r="H22" s="359" t="s">
        <v>640</v>
      </c>
      <c r="I22" s="359" t="s">
        <v>646</v>
      </c>
      <c r="J22" s="360">
        <v>-1</v>
      </c>
      <c r="K22" s="360">
        <v>1</v>
      </c>
      <c r="L22" s="360">
        <v>0.5</v>
      </c>
      <c r="M22" s="361">
        <v>0</v>
      </c>
      <c r="N22"/>
    </row>
    <row r="23" spans="6:14" ht="12.75" customHeight="1" x14ac:dyDescent="0.25">
      <c r="F23" s="343"/>
      <c r="G23" s="358">
        <v>21</v>
      </c>
      <c r="H23" s="8" t="s">
        <v>24</v>
      </c>
      <c r="I23" s="359" t="s">
        <v>646</v>
      </c>
      <c r="J23" s="360">
        <v>1</v>
      </c>
      <c r="K23" s="360">
        <v>2</v>
      </c>
      <c r="L23" s="360">
        <v>1.5</v>
      </c>
      <c r="M23" s="361">
        <v>0</v>
      </c>
      <c r="N23"/>
    </row>
    <row r="24" spans="6:14" ht="12.75" customHeight="1" x14ac:dyDescent="0.25">
      <c r="F24" s="343"/>
      <c r="G24" s="358">
        <v>22</v>
      </c>
      <c r="H24" s="8" t="s">
        <v>25</v>
      </c>
      <c r="I24" s="359" t="s">
        <v>646</v>
      </c>
      <c r="J24" s="360">
        <v>5</v>
      </c>
      <c r="K24" s="360">
        <v>0</v>
      </c>
      <c r="L24" s="360">
        <v>5</v>
      </c>
      <c r="M24" s="361">
        <v>0</v>
      </c>
      <c r="N24"/>
    </row>
    <row r="25" spans="6:14" ht="12.75" customHeight="1" x14ac:dyDescent="0.25">
      <c r="F25" s="343"/>
      <c r="G25" s="358">
        <v>23</v>
      </c>
      <c r="H25" s="8" t="s">
        <v>18</v>
      </c>
      <c r="I25" s="359" t="s">
        <v>19</v>
      </c>
      <c r="J25" s="360">
        <v>-0.2</v>
      </c>
      <c r="K25" s="360">
        <v>0</v>
      </c>
      <c r="L25" s="360">
        <v>0</v>
      </c>
      <c r="M25" s="361">
        <v>0</v>
      </c>
      <c r="N25"/>
    </row>
    <row r="26" spans="6:14" ht="12.75" customHeight="1" x14ac:dyDescent="0.25">
      <c r="F26" s="343"/>
      <c r="G26" s="358">
        <v>24</v>
      </c>
      <c r="H26" s="8" t="s">
        <v>231</v>
      </c>
      <c r="I26" s="359" t="s">
        <v>19</v>
      </c>
      <c r="J26" s="360">
        <v>-0.2</v>
      </c>
      <c r="K26" s="360">
        <v>2</v>
      </c>
      <c r="L26" s="360">
        <v>1</v>
      </c>
      <c r="M26" s="361">
        <v>0</v>
      </c>
      <c r="N26"/>
    </row>
    <row r="27" spans="6:14" ht="12.75" customHeight="1" x14ac:dyDescent="0.25">
      <c r="F27" s="343"/>
      <c r="G27" s="358">
        <v>25</v>
      </c>
      <c r="N27"/>
    </row>
    <row r="28" spans="6:14" ht="12.75" customHeight="1" x14ac:dyDescent="0.25">
      <c r="F28" s="343"/>
      <c r="G28" s="358">
        <v>26</v>
      </c>
      <c r="N28"/>
    </row>
    <row r="29" spans="6:14" ht="12.75" customHeight="1" x14ac:dyDescent="0.25">
      <c r="F29" s="343"/>
      <c r="G29" s="358">
        <v>27</v>
      </c>
      <c r="N29"/>
    </row>
    <row r="30" spans="6:14" ht="12.75" customHeight="1" x14ac:dyDescent="0.25">
      <c r="F30" s="343"/>
      <c r="G30" s="358">
        <v>28</v>
      </c>
      <c r="N30"/>
    </row>
    <row r="31" spans="6:14" ht="12.75" customHeight="1" x14ac:dyDescent="0.25">
      <c r="F31" s="343"/>
      <c r="G31" s="358">
        <v>29</v>
      </c>
      <c r="J31" s="360"/>
      <c r="K31" s="360"/>
      <c r="L31" s="360"/>
      <c r="N31"/>
    </row>
    <row r="32" spans="6:14" ht="12.75" customHeight="1" x14ac:dyDescent="0.25">
      <c r="F32" s="343"/>
      <c r="G32" s="358">
        <v>30</v>
      </c>
      <c r="J32" s="360"/>
      <c r="K32" s="360"/>
      <c r="L32" s="360"/>
      <c r="N32"/>
    </row>
    <row r="33" spans="6:14" ht="12.75" customHeight="1" x14ac:dyDescent="0.25">
      <c r="F33" s="343"/>
      <c r="G33" s="358">
        <v>31</v>
      </c>
      <c r="J33" s="360"/>
      <c r="K33" s="360"/>
      <c r="L33" s="360"/>
      <c r="N33"/>
    </row>
    <row r="34" spans="6:14" ht="12.75" customHeight="1" x14ac:dyDescent="0.25">
      <c r="F34" s="343"/>
      <c r="G34" s="358">
        <v>32</v>
      </c>
      <c r="J34" s="360"/>
      <c r="K34" s="360"/>
      <c r="L34" s="360"/>
      <c r="N34"/>
    </row>
    <row r="35" spans="6:14" ht="12.75" customHeight="1" x14ac:dyDescent="0.25">
      <c r="F35" s="343"/>
      <c r="G35" s="358">
        <v>33</v>
      </c>
      <c r="J35" s="360"/>
      <c r="K35" s="360"/>
      <c r="L35" s="360"/>
      <c r="N35"/>
    </row>
    <row r="36" spans="6:14" ht="12.75" customHeight="1" x14ac:dyDescent="0.25">
      <c r="F36" s="343"/>
      <c r="G36" s="358">
        <v>34</v>
      </c>
      <c r="J36" s="360"/>
      <c r="K36" s="360"/>
      <c r="L36" s="360"/>
      <c r="N36"/>
    </row>
    <row r="37" spans="6:14" ht="12.75" customHeight="1" x14ac:dyDescent="0.25">
      <c r="F37" s="343"/>
      <c r="G37" s="358">
        <v>35</v>
      </c>
      <c r="J37" s="360"/>
      <c r="K37" s="360"/>
      <c r="L37" s="360"/>
      <c r="N37"/>
    </row>
    <row r="38" spans="6:14" ht="12.75" customHeight="1" x14ac:dyDescent="0.25">
      <c r="F38" s="343"/>
      <c r="G38" s="358">
        <v>36</v>
      </c>
      <c r="I38" s="359"/>
      <c r="J38" s="360"/>
      <c r="K38" s="360"/>
      <c r="L38" s="360"/>
      <c r="N38"/>
    </row>
    <row r="39" spans="6:14" ht="12.75" customHeight="1" x14ac:dyDescent="0.25">
      <c r="F39" s="343"/>
      <c r="G39" s="358">
        <v>37</v>
      </c>
      <c r="I39" s="359"/>
      <c r="J39" s="360"/>
      <c r="K39" s="360"/>
      <c r="L39" s="360"/>
      <c r="N39"/>
    </row>
    <row r="40" spans="6:14" ht="12.75" customHeight="1" x14ac:dyDescent="0.25">
      <c r="F40" s="343"/>
      <c r="G40" s="358">
        <v>38</v>
      </c>
      <c r="J40" s="360"/>
      <c r="K40" s="360"/>
      <c r="L40" s="360"/>
      <c r="N40"/>
    </row>
    <row r="41" spans="6:14" x14ac:dyDescent="0.25">
      <c r="F41" s="343"/>
      <c r="G41" s="358">
        <v>39</v>
      </c>
      <c r="J41" s="360"/>
      <c r="K41" s="360"/>
      <c r="L41" s="360"/>
    </row>
    <row r="42" spans="6:14" x14ac:dyDescent="0.25">
      <c r="F42" s="343"/>
      <c r="G42" s="358">
        <v>40</v>
      </c>
    </row>
    <row r="43" spans="6:14" x14ac:dyDescent="0.25">
      <c r="F43" s="343"/>
    </row>
    <row r="44" spans="6:14" x14ac:dyDescent="0.25">
      <c r="F44" s="343"/>
    </row>
    <row r="45" spans="6:14" x14ac:dyDescent="0.25">
      <c r="F45" s="343"/>
    </row>
    <row r="46" spans="6:14" x14ac:dyDescent="0.25">
      <c r="F46" s="343"/>
    </row>
    <row r="47" spans="6:14" x14ac:dyDescent="0.25">
      <c r="F47" s="343"/>
    </row>
    <row r="48" spans="6:14" x14ac:dyDescent="0.25">
      <c r="F48" s="343"/>
    </row>
    <row r="49" spans="6:6" x14ac:dyDescent="0.25">
      <c r="F49" s="343"/>
    </row>
  </sheetData>
  <phoneticPr fontId="4" type="noConversion"/>
  <pageMargins left="0.75" right="0.75" top="1" bottom="1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V45"/>
  <sheetViews>
    <sheetView showGridLines="0" zoomScaleNormal="100" workbookViewId="0">
      <selection activeCell="A11" sqref="A11"/>
    </sheetView>
  </sheetViews>
  <sheetFormatPr defaultColWidth="9.109375" defaultRowHeight="13.8" x14ac:dyDescent="0.25"/>
  <cols>
    <col min="1" max="1" width="15.33203125" style="128" customWidth="1"/>
    <col min="2" max="2" width="27.33203125" style="128" customWidth="1"/>
    <col min="3" max="3" width="14.109375" style="128" customWidth="1"/>
    <col min="4" max="7" width="12.44140625" style="128" customWidth="1"/>
    <col min="8" max="16384" width="9.109375" style="128"/>
  </cols>
  <sheetData>
    <row r="1" spans="1:22" s="122" customFormat="1" x14ac:dyDescent="0.25">
      <c r="A1" s="121" t="s">
        <v>350</v>
      </c>
      <c r="D1" s="123"/>
      <c r="G1" s="124"/>
      <c r="I1" s="124"/>
      <c r="K1" s="124"/>
      <c r="M1" s="124"/>
      <c r="N1" s="124"/>
      <c r="P1" s="124"/>
      <c r="R1" s="124"/>
      <c r="T1" s="124"/>
      <c r="V1" s="124"/>
    </row>
    <row r="2" spans="1:22" s="122" customFormat="1" x14ac:dyDescent="0.25">
      <c r="A2" s="121"/>
      <c r="D2" s="123"/>
      <c r="G2" s="124"/>
      <c r="I2" s="124"/>
      <c r="K2" s="124"/>
      <c r="M2" s="124"/>
      <c r="N2" s="124"/>
      <c r="P2" s="124"/>
      <c r="R2" s="124"/>
      <c r="T2" s="124"/>
      <c r="V2" s="124"/>
    </row>
    <row r="3" spans="1:22" s="122" customFormat="1" ht="23.25" customHeight="1" x14ac:dyDescent="0.25">
      <c r="A3" s="237" t="s">
        <v>112</v>
      </c>
      <c r="B3" s="267">
        <f>applicant_name</f>
        <v>0</v>
      </c>
      <c r="C3" s="273" t="s">
        <v>117</v>
      </c>
      <c r="D3" s="274"/>
      <c r="E3" s="268"/>
      <c r="F3" s="266" t="s">
        <v>182</v>
      </c>
      <c r="G3" s="266">
        <f>SUMIF(tab_in_kind[Dobrovoľník pracuje pre],F3,tab_in_kind[SPOLU])</f>
        <v>115.08</v>
      </c>
      <c r="I3" s="124"/>
      <c r="K3" s="124"/>
      <c r="M3" s="124"/>
      <c r="N3" s="124"/>
      <c r="P3" s="124"/>
      <c r="R3" s="124"/>
      <c r="T3" s="124"/>
      <c r="V3" s="124"/>
    </row>
    <row r="4" spans="1:22" s="122" customFormat="1" ht="23.25" customHeight="1" x14ac:dyDescent="0.25">
      <c r="A4" s="237" t="s">
        <v>113</v>
      </c>
      <c r="B4" s="267">
        <f>project_title</f>
        <v>0</v>
      </c>
      <c r="C4" s="272" t="s">
        <v>166</v>
      </c>
      <c r="D4" s="272" t="s">
        <v>167</v>
      </c>
      <c r="E4" s="268"/>
      <c r="F4" s="266" t="s">
        <v>183</v>
      </c>
      <c r="G4" s="266">
        <f>SUMIF(tab_in_kind[Dobrovoľník pracuje pre],F4,tab_in_kind[SPOLU])</f>
        <v>124.67</v>
      </c>
      <c r="I4" s="124"/>
      <c r="K4" s="124"/>
      <c r="M4" s="124"/>
      <c r="N4" s="124"/>
      <c r="P4" s="124"/>
      <c r="R4" s="124"/>
      <c r="T4" s="124"/>
      <c r="V4" s="124"/>
    </row>
    <row r="5" spans="1:22" s="122" customFormat="1" ht="23.25" customHeight="1" x14ac:dyDescent="0.25">
      <c r="A5" s="237" t="s">
        <v>114</v>
      </c>
      <c r="B5" s="267">
        <f>project_code</f>
        <v>0</v>
      </c>
      <c r="C5" s="301">
        <f>reporting_period_starts</f>
        <v>0</v>
      </c>
      <c r="D5" s="301">
        <f>reporting_period_ends</f>
        <v>0</v>
      </c>
      <c r="E5" s="268"/>
      <c r="F5" s="266" t="s">
        <v>184</v>
      </c>
      <c r="G5" s="266">
        <f>SUMIF(tab_in_kind[Dobrovoľník pracuje pre],F5,tab_in_kind[SPOLU])</f>
        <v>134.26</v>
      </c>
      <c r="I5" s="124"/>
      <c r="K5" s="124"/>
      <c r="M5" s="124"/>
      <c r="N5" s="124"/>
      <c r="P5" s="124"/>
      <c r="R5" s="124"/>
      <c r="T5" s="124"/>
      <c r="V5" s="124"/>
    </row>
    <row r="6" spans="1:22" s="122" customFormat="1" ht="23.25" customHeight="1" x14ac:dyDescent="0.25">
      <c r="A6" s="237" t="s">
        <v>115</v>
      </c>
      <c r="B6" s="267">
        <f>report_number</f>
        <v>0</v>
      </c>
      <c r="C6" s="275" t="s">
        <v>354</v>
      </c>
      <c r="D6" s="276">
        <v>9.59</v>
      </c>
      <c r="E6" s="269"/>
      <c r="F6" s="266" t="s">
        <v>185</v>
      </c>
      <c r="G6" s="266">
        <f>SUMIF(tab_in_kind[Dobrovoľník pracuje pre],F6,tab_in_kind[SPOLU])</f>
        <v>0</v>
      </c>
      <c r="I6" s="124"/>
      <c r="K6" s="124"/>
      <c r="M6" s="124"/>
      <c r="N6" s="124"/>
      <c r="P6" s="124"/>
      <c r="R6" s="124"/>
      <c r="T6" s="124"/>
      <c r="V6" s="124"/>
    </row>
    <row r="7" spans="1:22" s="122" customFormat="1" ht="23.25" customHeight="1" x14ac:dyDescent="0.25">
      <c r="E7" s="270"/>
      <c r="F7" s="266" t="s">
        <v>186</v>
      </c>
      <c r="G7" s="266">
        <f>SUMIF(tab_in_kind[Dobrovoľník pracuje pre],F7,tab_in_kind[SPOLU])</f>
        <v>0</v>
      </c>
      <c r="I7" s="124"/>
      <c r="K7" s="124"/>
      <c r="M7" s="124"/>
      <c r="N7" s="124"/>
      <c r="P7" s="124"/>
      <c r="R7" s="124"/>
      <c r="T7" s="124"/>
      <c r="V7" s="124"/>
    </row>
    <row r="8" spans="1:22" s="122" customFormat="1" ht="23.25" customHeight="1" x14ac:dyDescent="0.25">
      <c r="E8" s="271"/>
      <c r="F8" s="266" t="s">
        <v>144</v>
      </c>
      <c r="G8" s="266">
        <f>SUM(G3:G7)</f>
        <v>374.01</v>
      </c>
      <c r="I8" s="124"/>
      <c r="K8" s="124"/>
      <c r="M8" s="124"/>
      <c r="N8" s="124"/>
      <c r="P8" s="124"/>
      <c r="R8" s="124"/>
      <c r="T8" s="124"/>
      <c r="V8" s="124"/>
    </row>
    <row r="10" spans="1:22" s="126" customFormat="1" ht="24.9" customHeight="1" x14ac:dyDescent="0.25">
      <c r="A10" s="258" t="s">
        <v>351</v>
      </c>
      <c r="B10" s="125" t="s">
        <v>355</v>
      </c>
      <c r="C10" s="125" t="s">
        <v>356</v>
      </c>
      <c r="D10" s="260" t="s">
        <v>352</v>
      </c>
      <c r="E10" s="260" t="s">
        <v>348</v>
      </c>
      <c r="F10" s="260" t="s">
        <v>353</v>
      </c>
      <c r="G10" s="259" t="s">
        <v>144</v>
      </c>
    </row>
    <row r="11" spans="1:22" s="126" customFormat="1" ht="24.9" customHeight="1" x14ac:dyDescent="0.25">
      <c r="A11" s="238"/>
      <c r="B11" s="127"/>
      <c r="C11" s="127"/>
      <c r="D11" s="127"/>
      <c r="E11" s="127"/>
      <c r="F11" s="127"/>
      <c r="G11" s="257">
        <f>tab_in_kind[[#This Row],[Počet hodín]]*in_kind_rate</f>
        <v>0</v>
      </c>
    </row>
    <row r="12" spans="1:22" s="126" customFormat="1" ht="24.9" customHeight="1" x14ac:dyDescent="0.25">
      <c r="A12" s="238"/>
      <c r="B12" s="127"/>
      <c r="C12" s="127"/>
      <c r="D12" s="127"/>
      <c r="E12" s="127"/>
      <c r="F12" s="127"/>
      <c r="G12" s="257">
        <f>tab_in_kind[[#This Row],[Počet hodín]]*in_kind_rate</f>
        <v>0</v>
      </c>
    </row>
    <row r="13" spans="1:22" s="126" customFormat="1" ht="24.9" customHeight="1" x14ac:dyDescent="0.25">
      <c r="A13" s="238"/>
      <c r="B13" s="127"/>
      <c r="C13" s="127"/>
      <c r="D13" s="127"/>
      <c r="E13" s="127"/>
      <c r="F13" s="127"/>
      <c r="G13" s="257">
        <f>tab_in_kind[[#This Row],[Počet hodín]]*in_kind_rate</f>
        <v>0</v>
      </c>
    </row>
    <row r="14" spans="1:22" s="126" customFormat="1" ht="24.9" customHeight="1" x14ac:dyDescent="0.25">
      <c r="A14" s="238"/>
      <c r="B14" s="127"/>
      <c r="C14" s="127" t="s">
        <v>182</v>
      </c>
      <c r="D14" s="127"/>
      <c r="E14" s="127"/>
      <c r="F14" s="127">
        <v>12</v>
      </c>
      <c r="G14" s="257">
        <f>tab_in_kind[[#This Row],[Počet hodín]]*in_kind_rate</f>
        <v>115.08</v>
      </c>
    </row>
    <row r="15" spans="1:22" s="126" customFormat="1" ht="24.9" customHeight="1" x14ac:dyDescent="0.25">
      <c r="A15" s="238"/>
      <c r="B15" s="127"/>
      <c r="C15" s="127" t="s">
        <v>183</v>
      </c>
      <c r="D15" s="127"/>
      <c r="E15" s="127"/>
      <c r="F15" s="127">
        <v>13</v>
      </c>
      <c r="G15" s="257">
        <f>tab_in_kind[[#This Row],[Počet hodín]]*in_kind_rate</f>
        <v>124.67</v>
      </c>
    </row>
    <row r="16" spans="1:22" s="126" customFormat="1" ht="24.9" customHeight="1" x14ac:dyDescent="0.25">
      <c r="A16" s="238"/>
      <c r="B16" s="127"/>
      <c r="C16" s="127" t="s">
        <v>184</v>
      </c>
      <c r="D16" s="127"/>
      <c r="E16" s="127"/>
      <c r="F16" s="127">
        <v>14</v>
      </c>
      <c r="G16" s="257">
        <f>tab_in_kind[[#This Row],[Počet hodín]]*in_kind_rate</f>
        <v>134.26</v>
      </c>
    </row>
    <row r="17" spans="1:7" s="126" customFormat="1" ht="24.9" customHeight="1" x14ac:dyDescent="0.25">
      <c r="A17" s="238"/>
      <c r="B17" s="127"/>
      <c r="C17" s="127"/>
      <c r="D17" s="127"/>
      <c r="E17" s="127"/>
      <c r="F17" s="127"/>
      <c r="G17" s="257">
        <f>tab_in_kind[[#This Row],[Počet hodín]]*in_kind_rate</f>
        <v>0</v>
      </c>
    </row>
    <row r="18" spans="1:7" s="126" customFormat="1" ht="24.9" customHeight="1" x14ac:dyDescent="0.25">
      <c r="A18" s="238"/>
      <c r="B18" s="127"/>
      <c r="C18" s="127"/>
      <c r="D18" s="127"/>
      <c r="E18" s="127"/>
      <c r="F18" s="127"/>
      <c r="G18" s="257">
        <f>tab_in_kind[[#This Row],[Počet hodín]]*in_kind_rate</f>
        <v>0</v>
      </c>
    </row>
    <row r="19" spans="1:7" s="126" customFormat="1" ht="24.9" customHeight="1" x14ac:dyDescent="0.25">
      <c r="A19" s="238"/>
      <c r="B19" s="127"/>
      <c r="C19" s="127"/>
      <c r="D19" s="127"/>
      <c r="E19" s="127"/>
      <c r="F19" s="127"/>
      <c r="G19" s="257">
        <f>tab_in_kind[[#This Row],[Počet hodín]]*in_kind_rate</f>
        <v>0</v>
      </c>
    </row>
    <row r="20" spans="1:7" s="126" customFormat="1" ht="24.9" customHeight="1" x14ac:dyDescent="0.25">
      <c r="A20" s="238"/>
      <c r="B20" s="127"/>
      <c r="C20" s="127"/>
      <c r="D20" s="127"/>
      <c r="E20" s="127"/>
      <c r="F20" s="127"/>
      <c r="G20" s="257">
        <f>tab_in_kind[[#This Row],[Počet hodín]]*in_kind_rate</f>
        <v>0</v>
      </c>
    </row>
    <row r="21" spans="1:7" s="126" customFormat="1" ht="24.9" customHeight="1" x14ac:dyDescent="0.25">
      <c r="A21" s="238"/>
      <c r="B21" s="127"/>
      <c r="C21" s="127"/>
      <c r="D21" s="127"/>
      <c r="E21" s="127"/>
      <c r="F21" s="127"/>
      <c r="G21" s="257">
        <f>tab_in_kind[[#This Row],[Počet hodín]]*in_kind_rate</f>
        <v>0</v>
      </c>
    </row>
    <row r="22" spans="1:7" s="126" customFormat="1" ht="24.9" customHeight="1" x14ac:dyDescent="0.25">
      <c r="A22" s="238"/>
      <c r="B22" s="127"/>
      <c r="C22" s="127"/>
      <c r="D22" s="127"/>
      <c r="E22" s="127"/>
      <c r="F22" s="127"/>
      <c r="G22" s="257">
        <f>tab_in_kind[[#This Row],[Počet hodín]]*in_kind_rate</f>
        <v>0</v>
      </c>
    </row>
    <row r="23" spans="1:7" s="126" customFormat="1" ht="24.9" customHeight="1" x14ac:dyDescent="0.25">
      <c r="A23" s="238"/>
      <c r="B23" s="127"/>
      <c r="C23" s="127"/>
      <c r="D23" s="127"/>
      <c r="E23" s="127"/>
      <c r="F23" s="127"/>
      <c r="G23" s="257">
        <f>tab_in_kind[[#This Row],[Počet hodín]]*in_kind_rate</f>
        <v>0</v>
      </c>
    </row>
    <row r="24" spans="1:7" s="126" customFormat="1" ht="24.9" customHeight="1" x14ac:dyDescent="0.25">
      <c r="A24" s="238"/>
      <c r="B24" s="127"/>
      <c r="C24" s="127"/>
      <c r="D24" s="127"/>
      <c r="E24" s="127"/>
      <c r="F24" s="127"/>
      <c r="G24" s="257">
        <f>tab_in_kind[[#This Row],[Počet hodín]]*in_kind_rate</f>
        <v>0</v>
      </c>
    </row>
    <row r="25" spans="1:7" s="126" customFormat="1" ht="24.9" customHeight="1" x14ac:dyDescent="0.25">
      <c r="A25" s="238"/>
      <c r="B25" s="127"/>
      <c r="C25" s="127"/>
      <c r="D25" s="127"/>
      <c r="E25" s="127"/>
      <c r="F25" s="127"/>
      <c r="G25" s="257">
        <f>tab_in_kind[[#This Row],[Počet hodín]]*in_kind_rate</f>
        <v>0</v>
      </c>
    </row>
    <row r="26" spans="1:7" s="126" customFormat="1" ht="24.9" customHeight="1" x14ac:dyDescent="0.25">
      <c r="A26" s="238"/>
      <c r="B26" s="127"/>
      <c r="C26" s="127"/>
      <c r="D26" s="127"/>
      <c r="E26" s="127"/>
      <c r="F26" s="127"/>
      <c r="G26" s="257">
        <f>tab_in_kind[[#This Row],[Počet hodín]]*in_kind_rate</f>
        <v>0</v>
      </c>
    </row>
    <row r="27" spans="1:7" s="126" customFormat="1" ht="24.9" customHeight="1" x14ac:dyDescent="0.25">
      <c r="A27" s="238"/>
      <c r="B27" s="127"/>
      <c r="C27" s="127"/>
      <c r="D27" s="127"/>
      <c r="E27" s="127"/>
      <c r="F27" s="127"/>
      <c r="G27" s="257">
        <f>tab_in_kind[[#This Row],[Počet hodín]]*in_kind_rate</f>
        <v>0</v>
      </c>
    </row>
    <row r="28" spans="1:7" s="126" customFormat="1" ht="24.9" customHeight="1" x14ac:dyDescent="0.25">
      <c r="A28" s="238"/>
      <c r="B28" s="127"/>
      <c r="C28" s="127"/>
      <c r="D28" s="127"/>
      <c r="E28" s="127"/>
      <c r="F28" s="127"/>
      <c r="G28" s="257">
        <f>tab_in_kind[[#This Row],[Počet hodín]]*in_kind_rate</f>
        <v>0</v>
      </c>
    </row>
    <row r="29" spans="1:7" s="126" customFormat="1" ht="24.9" customHeight="1" x14ac:dyDescent="0.25">
      <c r="A29" s="238"/>
      <c r="B29" s="127"/>
      <c r="C29" s="127"/>
      <c r="D29" s="127"/>
      <c r="E29" s="127"/>
      <c r="F29" s="127"/>
      <c r="G29" s="257">
        <f>tab_in_kind[[#This Row],[Počet hodín]]*in_kind_rate</f>
        <v>0</v>
      </c>
    </row>
    <row r="30" spans="1:7" s="126" customFormat="1" ht="24.9" customHeight="1" x14ac:dyDescent="0.25">
      <c r="A30" s="238"/>
      <c r="B30" s="127"/>
      <c r="C30" s="127"/>
      <c r="D30" s="127"/>
      <c r="E30" s="127"/>
      <c r="F30" s="127"/>
      <c r="G30" s="257">
        <f>tab_in_kind[[#This Row],[Počet hodín]]*in_kind_rate</f>
        <v>0</v>
      </c>
    </row>
    <row r="31" spans="1:7" s="204" customFormat="1" ht="6.75" customHeight="1" x14ac:dyDescent="0.25"/>
    <row r="32" spans="1:7" s="265" customFormat="1" x14ac:dyDescent="0.25"/>
    <row r="33" spans="1:7" s="263" customFormat="1" ht="36" customHeight="1" x14ac:dyDescent="0.25">
      <c r="A33" s="261" t="s">
        <v>170</v>
      </c>
      <c r="B33" s="277"/>
    </row>
    <row r="34" spans="1:7" s="263" customFormat="1" ht="36" customHeight="1" x14ac:dyDescent="0.25">
      <c r="A34" s="261" t="s">
        <v>444</v>
      </c>
      <c r="B34" s="277"/>
    </row>
    <row r="35" spans="1:7" s="263" customFormat="1" ht="36" customHeight="1" x14ac:dyDescent="0.25">
      <c r="A35" s="261" t="s">
        <v>445</v>
      </c>
      <c r="B35" s="277"/>
    </row>
    <row r="36" spans="1:7" s="263" customFormat="1" ht="36" customHeight="1" x14ac:dyDescent="0.25">
      <c r="A36" s="261" t="s">
        <v>171</v>
      </c>
      <c r="B36" s="261"/>
    </row>
    <row r="37" spans="1:7" s="263" customFormat="1" ht="36" customHeight="1" x14ac:dyDescent="0.25"/>
    <row r="38" spans="1:7" s="263" customFormat="1" ht="36" customHeight="1" x14ac:dyDescent="0.25">
      <c r="A38" s="261" t="s">
        <v>173</v>
      </c>
      <c r="B38" s="277"/>
    </row>
    <row r="39" spans="1:7" s="265" customFormat="1" ht="36" customHeight="1" x14ac:dyDescent="0.25">
      <c r="A39" s="261" t="s">
        <v>444</v>
      </c>
      <c r="B39" s="278"/>
      <c r="C39" s="264"/>
      <c r="D39" s="264"/>
      <c r="E39" s="264"/>
      <c r="F39" s="263"/>
      <c r="G39" s="263"/>
    </row>
    <row r="40" spans="1:7" s="265" customFormat="1" ht="36" customHeight="1" x14ac:dyDescent="0.25">
      <c r="A40" s="261" t="s">
        <v>445</v>
      </c>
      <c r="B40" s="278"/>
      <c r="C40" s="264"/>
      <c r="D40" s="264"/>
      <c r="E40" s="264"/>
      <c r="F40" s="263"/>
      <c r="G40" s="263"/>
    </row>
    <row r="41" spans="1:7" s="265" customFormat="1" ht="36" customHeight="1" x14ac:dyDescent="0.25">
      <c r="A41" s="261" t="s">
        <v>171</v>
      </c>
      <c r="B41" s="262"/>
      <c r="C41" s="264"/>
      <c r="D41" s="264"/>
      <c r="E41" s="264"/>
      <c r="F41" s="263"/>
      <c r="G41" s="263"/>
    </row>
    <row r="42" spans="1:7" s="265" customFormat="1" ht="26.25" customHeight="1" x14ac:dyDescent="0.25">
      <c r="B42" s="264"/>
      <c r="C42" s="264"/>
      <c r="D42" s="264"/>
      <c r="E42" s="264"/>
      <c r="F42" s="263"/>
      <c r="G42" s="263"/>
    </row>
    <row r="43" spans="1:7" s="265" customFormat="1" ht="26.25" customHeight="1" x14ac:dyDescent="0.25">
      <c r="B43" s="264"/>
      <c r="C43" s="264"/>
      <c r="D43" s="264"/>
      <c r="E43" s="264"/>
      <c r="F43" s="263"/>
      <c r="G43" s="263"/>
    </row>
    <row r="44" spans="1:7" s="265" customFormat="1" ht="26.25" customHeight="1" x14ac:dyDescent="0.25">
      <c r="B44" s="264"/>
      <c r="C44" s="264"/>
      <c r="D44" s="264"/>
      <c r="E44" s="264"/>
      <c r="F44" s="263"/>
      <c r="G44" s="263"/>
    </row>
    <row r="45" spans="1:7" s="265" customFormat="1" ht="26.25" customHeight="1" x14ac:dyDescent="0.25">
      <c r="B45" s="264"/>
      <c r="C45" s="264"/>
      <c r="D45" s="264"/>
      <c r="E45" s="264"/>
      <c r="F45" s="263"/>
      <c r="G45" s="263"/>
    </row>
  </sheetData>
  <dataValidations count="3">
    <dataValidation type="list" allowBlank="1" showInputMessage="1" showErrorMessage="1" sqref="V7 K7 T7 R7 P7 M7:N7">
      <formula1>mybest1</formula1>
    </dataValidation>
    <dataValidation allowBlank="1" showInputMessage="1" showErrorMessage="1" errorTitle="Neplatný vstup" error="Vyberte z možností rozbaľovacieho poľa" sqref="D11:E11 B11"/>
    <dataValidation type="list" allowBlank="1" showInputMessage="1" showErrorMessage="1" errorTitle="Neplatný vstup" error="Vyberte z možností rozbaľovacieho poľa." sqref="C11:C31">
      <formula1>realizujuci_subjekt</formula1>
    </dataValidation>
  </dataValidations>
  <pageMargins left="0.7" right="0.7" top="0.75" bottom="0.75" header="0.3" footer="0.3"/>
  <pageSetup paperSize="9" scale="7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2909</vt:i4>
      </vt:variant>
    </vt:vector>
  </HeadingPairs>
  <TitlesOfParts>
    <vt:vector size="2915" baseType="lpstr">
      <vt:lpstr>PSP</vt:lpstr>
      <vt:lpstr>ZUD</vt:lpstr>
      <vt:lpstr>ROZPOCET</vt:lpstr>
      <vt:lpstr>ROZDELENIE</vt:lpstr>
      <vt:lpstr>DATA</vt:lpstr>
      <vt:lpstr>INKIND</vt:lpstr>
      <vt:lpstr>activities</vt:lpstr>
      <vt:lpstr>Activity1_Name</vt:lpstr>
      <vt:lpstr>Activity1_Title</vt:lpstr>
      <vt:lpstr>Activity2_Name</vt:lpstr>
      <vt:lpstr>Activity2_Title</vt:lpstr>
      <vt:lpstr>Activity3_Name</vt:lpstr>
      <vt:lpstr>Activity3_Title</vt:lpstr>
      <vt:lpstr>Activity4_Name</vt:lpstr>
      <vt:lpstr>Activity4_Title</vt:lpstr>
      <vt:lpstr>Activity5_Name</vt:lpstr>
      <vt:lpstr>Activity5_Title</vt:lpstr>
      <vt:lpstr>Activity6_Name</vt:lpstr>
      <vt:lpstr>Activity6_Title</vt:lpstr>
      <vt:lpstr>Activity7_Name</vt:lpstr>
      <vt:lpstr>Activity7_Title</vt:lpstr>
      <vt:lpstr>Activity8_Name</vt:lpstr>
      <vt:lpstr>Activity8_Title</vt:lpstr>
      <vt:lpstr>advance_payment_date</vt:lpstr>
      <vt:lpstr>advance_payment_partner1</vt:lpstr>
      <vt:lpstr>advance_payment_partner2</vt:lpstr>
      <vt:lpstr>advance_payment_partner3</vt:lpstr>
      <vt:lpstr>advance_payment_partner4</vt:lpstr>
      <vt:lpstr>advance_payment_promoter</vt:lpstr>
      <vt:lpstr>advance_payment_total</vt:lpstr>
      <vt:lpstr>advance_percentage</vt:lpstr>
      <vt:lpstr>antidiscrimination_contribution</vt:lpstr>
      <vt:lpstr>antidiscrimination_remarks</vt:lpstr>
      <vt:lpstr>applicant_name</vt:lpstr>
      <vt:lpstr>bilateral_indicator_baseline1</vt:lpstr>
      <vt:lpstr>bilateral_indicator_baseline2</vt:lpstr>
      <vt:lpstr>bilateral_indicator_baseline3</vt:lpstr>
      <vt:lpstr>bilateral_indicator_baseline4</vt:lpstr>
      <vt:lpstr>bilateral_indicator_baseline5</vt:lpstr>
      <vt:lpstr>bilateral_indicator_baseline6</vt:lpstr>
      <vt:lpstr>bilateral_indicator_baseline7</vt:lpstr>
      <vt:lpstr>bilateral_indicator_baseline8</vt:lpstr>
      <vt:lpstr>bilateral_indicator_code1</vt:lpstr>
      <vt:lpstr>bilateral_indicator_code2</vt:lpstr>
      <vt:lpstr>bilateral_indicator_code3</vt:lpstr>
      <vt:lpstr>bilateral_indicator_code4</vt:lpstr>
      <vt:lpstr>bilateral_indicator_code5</vt:lpstr>
      <vt:lpstr>bilateral_indicator_code6</vt:lpstr>
      <vt:lpstr>bilateral_indicator_code7</vt:lpstr>
      <vt:lpstr>bilateral_indicator_code8</vt:lpstr>
      <vt:lpstr>bilateral_indicator_current_value1</vt:lpstr>
      <vt:lpstr>bilateral_indicator_current_value2</vt:lpstr>
      <vt:lpstr>bilateral_indicator_current_value3</vt:lpstr>
      <vt:lpstr>bilateral_indicator_current_value4</vt:lpstr>
      <vt:lpstr>bilateral_indicator_current_value5</vt:lpstr>
      <vt:lpstr>bilateral_indicator_current_value6</vt:lpstr>
      <vt:lpstr>bilateral_indicator_current_value7</vt:lpstr>
      <vt:lpstr>bilateral_indicator_current_value8</vt:lpstr>
      <vt:lpstr>bilateral_indicator_level1</vt:lpstr>
      <vt:lpstr>bilateral_indicator_level2</vt:lpstr>
      <vt:lpstr>bilateral_indicator_level3</vt:lpstr>
      <vt:lpstr>bilateral_indicator_level4</vt:lpstr>
      <vt:lpstr>bilateral_indicator_level5</vt:lpstr>
      <vt:lpstr>bilateral_indicator_level6</vt:lpstr>
      <vt:lpstr>bilateral_indicator_level7</vt:lpstr>
      <vt:lpstr>bilateral_indicator_level8</vt:lpstr>
      <vt:lpstr>bilateral_indicator_measurement1</vt:lpstr>
      <vt:lpstr>bilateral_indicator_measurement2</vt:lpstr>
      <vt:lpstr>bilateral_indicator_measurement3</vt:lpstr>
      <vt:lpstr>bilateral_indicator_measurement4</vt:lpstr>
      <vt:lpstr>bilateral_indicator_measurement5</vt:lpstr>
      <vt:lpstr>bilateral_indicator_measurement6</vt:lpstr>
      <vt:lpstr>bilateral_indicator_measurement7</vt:lpstr>
      <vt:lpstr>bilateral_indicator_measurement8</vt:lpstr>
      <vt:lpstr>bilateral_indicator_target1</vt:lpstr>
      <vt:lpstr>bilateral_indicator_target2</vt:lpstr>
      <vt:lpstr>bilateral_indicator_target3</vt:lpstr>
      <vt:lpstr>bilateral_indicator_target4</vt:lpstr>
      <vt:lpstr>bilateral_indicator_target5</vt:lpstr>
      <vt:lpstr>bilateral_indicator_target6</vt:lpstr>
      <vt:lpstr>bilateral_indicator_target7</vt:lpstr>
      <vt:lpstr>bilateral_indicator_target8</vt:lpstr>
      <vt:lpstr>bilateral_indicator_type1</vt:lpstr>
      <vt:lpstr>bilateral_indicator_type2</vt:lpstr>
      <vt:lpstr>bilateral_indicator_type3</vt:lpstr>
      <vt:lpstr>bilateral_indicator_type4</vt:lpstr>
      <vt:lpstr>bilateral_indicator_type5</vt:lpstr>
      <vt:lpstr>bilateral_indicator_type6</vt:lpstr>
      <vt:lpstr>bilateral_indicator_type7</vt:lpstr>
      <vt:lpstr>bilateral_indicator_type8</vt:lpstr>
      <vt:lpstr>bilateral_indicator1</vt:lpstr>
      <vt:lpstr>bilateral_indicator1_disag_type1</vt:lpstr>
      <vt:lpstr>bilateral_indicator1_disag_type10</vt:lpstr>
      <vt:lpstr>bilateral_indicator1_disag_type11</vt:lpstr>
      <vt:lpstr>bilateral_indicator1_disag_type12</vt:lpstr>
      <vt:lpstr>bilateral_indicator1_disag_type2</vt:lpstr>
      <vt:lpstr>bilateral_indicator1_disag_type3</vt:lpstr>
      <vt:lpstr>bilateral_indicator1_disag_type4</vt:lpstr>
      <vt:lpstr>bilateral_indicator1_disag_type5</vt:lpstr>
      <vt:lpstr>bilateral_indicator1_disag_type6</vt:lpstr>
      <vt:lpstr>bilateral_indicator1_disag_type7</vt:lpstr>
      <vt:lpstr>bilateral_indicator1_disag_type8</vt:lpstr>
      <vt:lpstr>bilateral_indicator1_disag_type9</vt:lpstr>
      <vt:lpstr>bilateral_indicator1_disag_value1</vt:lpstr>
      <vt:lpstr>bilateral_indicator1_disag_value10</vt:lpstr>
      <vt:lpstr>bilateral_indicator1_disag_value11</vt:lpstr>
      <vt:lpstr>bilateral_indicator1_disag_value12</vt:lpstr>
      <vt:lpstr>bilateral_indicator1_disag_value2</vt:lpstr>
      <vt:lpstr>bilateral_indicator1_disag_value3</vt:lpstr>
      <vt:lpstr>bilateral_indicator1_disag_value4</vt:lpstr>
      <vt:lpstr>bilateral_indicator1_disag_value5</vt:lpstr>
      <vt:lpstr>bilateral_indicator1_disag_value6</vt:lpstr>
      <vt:lpstr>bilateral_indicator1_disag_value7</vt:lpstr>
      <vt:lpstr>bilateral_indicator1_disag_value8</vt:lpstr>
      <vt:lpstr>bilateral_indicator1_disag_value9</vt:lpstr>
      <vt:lpstr>bilateral_indicator2</vt:lpstr>
      <vt:lpstr>bilateral_indicator2_disag_type1</vt:lpstr>
      <vt:lpstr>bilateral_indicator2_disag_type10</vt:lpstr>
      <vt:lpstr>bilateral_indicator2_disag_type11</vt:lpstr>
      <vt:lpstr>bilateral_indicator2_disag_type12</vt:lpstr>
      <vt:lpstr>bilateral_indicator2_disag_type2</vt:lpstr>
      <vt:lpstr>bilateral_indicator2_disag_type3</vt:lpstr>
      <vt:lpstr>bilateral_indicator2_disag_type4</vt:lpstr>
      <vt:lpstr>bilateral_indicator2_disag_type5</vt:lpstr>
      <vt:lpstr>bilateral_indicator2_disag_type6</vt:lpstr>
      <vt:lpstr>bilateral_indicator2_disag_type7</vt:lpstr>
      <vt:lpstr>bilateral_indicator2_disag_type8</vt:lpstr>
      <vt:lpstr>bilateral_indicator2_disag_type9</vt:lpstr>
      <vt:lpstr>bilateral_indicator2_disag_value1</vt:lpstr>
      <vt:lpstr>bilateral_indicator2_disag_value10</vt:lpstr>
      <vt:lpstr>bilateral_indicator2_disag_value11</vt:lpstr>
      <vt:lpstr>bilateral_indicator2_disag_value12</vt:lpstr>
      <vt:lpstr>bilateral_indicator2_disag_value2</vt:lpstr>
      <vt:lpstr>bilateral_indicator2_disag_value3</vt:lpstr>
      <vt:lpstr>bilateral_indicator2_disag_value4</vt:lpstr>
      <vt:lpstr>bilateral_indicator2_disag_value5</vt:lpstr>
      <vt:lpstr>bilateral_indicator2_disag_value6</vt:lpstr>
      <vt:lpstr>bilateral_indicator2_disag_value7</vt:lpstr>
      <vt:lpstr>bilateral_indicator2_disag_value8</vt:lpstr>
      <vt:lpstr>bilateral_indicator2_disag_value9</vt:lpstr>
      <vt:lpstr>bilateral_indicator3</vt:lpstr>
      <vt:lpstr>bilateral_indicator3_disag_type1</vt:lpstr>
      <vt:lpstr>bilateral_indicator3_disag_type10</vt:lpstr>
      <vt:lpstr>bilateral_indicator3_disag_type11</vt:lpstr>
      <vt:lpstr>bilateral_indicator3_disag_type12</vt:lpstr>
      <vt:lpstr>bilateral_indicator3_disag_type2</vt:lpstr>
      <vt:lpstr>bilateral_indicator3_disag_type3</vt:lpstr>
      <vt:lpstr>bilateral_indicator3_disag_type4</vt:lpstr>
      <vt:lpstr>bilateral_indicator3_disag_type5</vt:lpstr>
      <vt:lpstr>bilateral_indicator3_disag_type6</vt:lpstr>
      <vt:lpstr>bilateral_indicator3_disag_type7</vt:lpstr>
      <vt:lpstr>bilateral_indicator3_disag_type8</vt:lpstr>
      <vt:lpstr>bilateral_indicator3_disag_type9</vt:lpstr>
      <vt:lpstr>bilateral_indicator3_disag_value1</vt:lpstr>
      <vt:lpstr>bilateral_indicator3_disag_value10</vt:lpstr>
      <vt:lpstr>bilateral_indicator3_disag_value11</vt:lpstr>
      <vt:lpstr>bilateral_indicator3_disag_value12</vt:lpstr>
      <vt:lpstr>bilateral_indicator3_disag_value2</vt:lpstr>
      <vt:lpstr>bilateral_indicator3_disag_value3</vt:lpstr>
      <vt:lpstr>bilateral_indicator3_disag_value4</vt:lpstr>
      <vt:lpstr>bilateral_indicator3_disag_value5</vt:lpstr>
      <vt:lpstr>bilateral_indicator3_disag_value6</vt:lpstr>
      <vt:lpstr>bilateral_indicator3_disag_value7</vt:lpstr>
      <vt:lpstr>bilateral_indicator3_disag_value8</vt:lpstr>
      <vt:lpstr>bilateral_indicator3_disag_value9</vt:lpstr>
      <vt:lpstr>bilateral_indicator4</vt:lpstr>
      <vt:lpstr>bilateral_indicator4_disag_type1</vt:lpstr>
      <vt:lpstr>bilateral_indicator4_disag_type10</vt:lpstr>
      <vt:lpstr>bilateral_indicator4_disag_type11</vt:lpstr>
      <vt:lpstr>bilateral_indicator4_disag_type12</vt:lpstr>
      <vt:lpstr>bilateral_indicator4_disag_type2</vt:lpstr>
      <vt:lpstr>bilateral_indicator4_disag_type3</vt:lpstr>
      <vt:lpstr>bilateral_indicator4_disag_type4</vt:lpstr>
      <vt:lpstr>bilateral_indicator4_disag_type5</vt:lpstr>
      <vt:lpstr>bilateral_indicator4_disag_type6</vt:lpstr>
      <vt:lpstr>bilateral_indicator4_disag_type7</vt:lpstr>
      <vt:lpstr>bilateral_indicator4_disag_type8</vt:lpstr>
      <vt:lpstr>bilateral_indicator4_disag_type9</vt:lpstr>
      <vt:lpstr>bilateral_indicator4_disag_value1</vt:lpstr>
      <vt:lpstr>bilateral_indicator4_disag_value10</vt:lpstr>
      <vt:lpstr>bilateral_indicator4_disag_value11</vt:lpstr>
      <vt:lpstr>bilateral_indicator4_disag_value12</vt:lpstr>
      <vt:lpstr>bilateral_indicator4_disag_value2</vt:lpstr>
      <vt:lpstr>bilateral_indicator4_disag_value3</vt:lpstr>
      <vt:lpstr>bilateral_indicator4_disag_value4</vt:lpstr>
      <vt:lpstr>bilateral_indicator4_disag_value5</vt:lpstr>
      <vt:lpstr>bilateral_indicator4_disag_value6</vt:lpstr>
      <vt:lpstr>bilateral_indicator4_disag_value7</vt:lpstr>
      <vt:lpstr>bilateral_indicator4_disag_value8</vt:lpstr>
      <vt:lpstr>bilateral_indicator4_disag_value9</vt:lpstr>
      <vt:lpstr>bilateral_indicator5</vt:lpstr>
      <vt:lpstr>bilateral_indicator5_disag_type1</vt:lpstr>
      <vt:lpstr>bilateral_indicator5_disag_type10</vt:lpstr>
      <vt:lpstr>bilateral_indicator5_disag_type11</vt:lpstr>
      <vt:lpstr>bilateral_indicator5_disag_type12</vt:lpstr>
      <vt:lpstr>bilateral_indicator5_disag_type2</vt:lpstr>
      <vt:lpstr>bilateral_indicator5_disag_type3</vt:lpstr>
      <vt:lpstr>bilateral_indicator5_disag_type4</vt:lpstr>
      <vt:lpstr>bilateral_indicator5_disag_type5</vt:lpstr>
      <vt:lpstr>bilateral_indicator5_disag_type6</vt:lpstr>
      <vt:lpstr>bilateral_indicator5_disag_type7</vt:lpstr>
      <vt:lpstr>bilateral_indicator5_disag_type8</vt:lpstr>
      <vt:lpstr>bilateral_indicator5_disag_type9</vt:lpstr>
      <vt:lpstr>bilateral_indicator5_disag_value1</vt:lpstr>
      <vt:lpstr>bilateral_indicator5_disag_value10</vt:lpstr>
      <vt:lpstr>bilateral_indicator5_disag_value11</vt:lpstr>
      <vt:lpstr>bilateral_indicator5_disag_value12</vt:lpstr>
      <vt:lpstr>bilateral_indicator5_disag_value2</vt:lpstr>
      <vt:lpstr>bilateral_indicator5_disag_value3</vt:lpstr>
      <vt:lpstr>bilateral_indicator5_disag_value4</vt:lpstr>
      <vt:lpstr>bilateral_indicator5_disag_value5</vt:lpstr>
      <vt:lpstr>bilateral_indicator5_disag_value6</vt:lpstr>
      <vt:lpstr>bilateral_indicator5_disag_value7</vt:lpstr>
      <vt:lpstr>bilateral_indicator5_disag_value8</vt:lpstr>
      <vt:lpstr>bilateral_indicator5_disag_value9</vt:lpstr>
      <vt:lpstr>bilateral_indicator6</vt:lpstr>
      <vt:lpstr>bilateral_indicator6_disag_type1</vt:lpstr>
      <vt:lpstr>bilateral_indicator6_disag_type10</vt:lpstr>
      <vt:lpstr>bilateral_indicator6_disag_type11</vt:lpstr>
      <vt:lpstr>bilateral_indicator6_disag_type12</vt:lpstr>
      <vt:lpstr>bilateral_indicator6_disag_type2</vt:lpstr>
      <vt:lpstr>bilateral_indicator6_disag_type3</vt:lpstr>
      <vt:lpstr>bilateral_indicator6_disag_type4</vt:lpstr>
      <vt:lpstr>bilateral_indicator6_disag_type5</vt:lpstr>
      <vt:lpstr>bilateral_indicator6_disag_type6</vt:lpstr>
      <vt:lpstr>bilateral_indicator6_disag_type7</vt:lpstr>
      <vt:lpstr>bilateral_indicator6_disag_type8</vt:lpstr>
      <vt:lpstr>bilateral_indicator6_disag_type9</vt:lpstr>
      <vt:lpstr>bilateral_indicator6_disag_value1</vt:lpstr>
      <vt:lpstr>bilateral_indicator6_disag_value10</vt:lpstr>
      <vt:lpstr>bilateral_indicator6_disag_value11</vt:lpstr>
      <vt:lpstr>bilateral_indicator6_disag_value12</vt:lpstr>
      <vt:lpstr>bilateral_indicator6_disag_value2</vt:lpstr>
      <vt:lpstr>bilateral_indicator6_disag_value3</vt:lpstr>
      <vt:lpstr>bilateral_indicator6_disag_value4</vt:lpstr>
      <vt:lpstr>bilateral_indicator6_disag_value5</vt:lpstr>
      <vt:lpstr>bilateral_indicator6_disag_value6</vt:lpstr>
      <vt:lpstr>bilateral_indicator6_disag_value7</vt:lpstr>
      <vt:lpstr>bilateral_indicator6_disag_value8</vt:lpstr>
      <vt:lpstr>bilateral_indicator6_disag_value9</vt:lpstr>
      <vt:lpstr>bilateral_indicator7</vt:lpstr>
      <vt:lpstr>bilateral_indicator7_disag_type1</vt:lpstr>
      <vt:lpstr>bilateral_indicator7_disag_type10</vt:lpstr>
      <vt:lpstr>bilateral_indicator7_disag_type11</vt:lpstr>
      <vt:lpstr>bilateral_indicator7_disag_type12</vt:lpstr>
      <vt:lpstr>bilateral_indicator7_disag_type2</vt:lpstr>
      <vt:lpstr>bilateral_indicator7_disag_type3</vt:lpstr>
      <vt:lpstr>bilateral_indicator7_disag_type4</vt:lpstr>
      <vt:lpstr>bilateral_indicator7_disag_type5</vt:lpstr>
      <vt:lpstr>bilateral_indicator7_disag_type6</vt:lpstr>
      <vt:lpstr>bilateral_indicator7_disag_type7</vt:lpstr>
      <vt:lpstr>bilateral_indicator7_disag_type8</vt:lpstr>
      <vt:lpstr>bilateral_indicator7_disag_type9</vt:lpstr>
      <vt:lpstr>bilateral_indicator7_disag_value1</vt:lpstr>
      <vt:lpstr>bilateral_indicator7_disag_value10</vt:lpstr>
      <vt:lpstr>bilateral_indicator7_disag_value11</vt:lpstr>
      <vt:lpstr>bilateral_indicator7_disag_value12</vt:lpstr>
      <vt:lpstr>bilateral_indicator7_disag_value2</vt:lpstr>
      <vt:lpstr>bilateral_indicator7_disag_value3</vt:lpstr>
      <vt:lpstr>bilateral_indicator7_disag_value4</vt:lpstr>
      <vt:lpstr>bilateral_indicator7_disag_value5</vt:lpstr>
      <vt:lpstr>bilateral_indicator7_disag_value6</vt:lpstr>
      <vt:lpstr>bilateral_indicator7_disag_value7</vt:lpstr>
      <vt:lpstr>bilateral_indicator7_disag_value8</vt:lpstr>
      <vt:lpstr>bilateral_indicator7_disag_value9</vt:lpstr>
      <vt:lpstr>bilateral_indicator8</vt:lpstr>
      <vt:lpstr>bilateral_indicator8_disag_type1</vt:lpstr>
      <vt:lpstr>bilateral_indicator8_disag_type10</vt:lpstr>
      <vt:lpstr>bilateral_indicator8_disag_type11</vt:lpstr>
      <vt:lpstr>bilateral_indicator8_disag_type12</vt:lpstr>
      <vt:lpstr>bilateral_indicator8_disag_type2</vt:lpstr>
      <vt:lpstr>bilateral_indicator8_disag_type3</vt:lpstr>
      <vt:lpstr>bilateral_indicator8_disag_type4</vt:lpstr>
      <vt:lpstr>bilateral_indicator8_disag_type5</vt:lpstr>
      <vt:lpstr>bilateral_indicator8_disag_type6</vt:lpstr>
      <vt:lpstr>bilateral_indicator8_disag_type7</vt:lpstr>
      <vt:lpstr>bilateral_indicator8_disag_type8</vt:lpstr>
      <vt:lpstr>bilateral_indicator8_disag_type9</vt:lpstr>
      <vt:lpstr>bilateral_indicator8_disag_value1</vt:lpstr>
      <vt:lpstr>bilateral_indicator8_disag_value10</vt:lpstr>
      <vt:lpstr>bilateral_indicator8_disag_value11</vt:lpstr>
      <vt:lpstr>bilateral_indicator8_disag_value12</vt:lpstr>
      <vt:lpstr>bilateral_indicator8_disag_value2</vt:lpstr>
      <vt:lpstr>bilateral_indicator8_disag_value3</vt:lpstr>
      <vt:lpstr>bilateral_indicator8_disag_value4</vt:lpstr>
      <vt:lpstr>bilateral_indicator8_disag_value5</vt:lpstr>
      <vt:lpstr>bilateral_indicator8_disag_value6</vt:lpstr>
      <vt:lpstr>bilateral_indicator8_disag_value7</vt:lpstr>
      <vt:lpstr>bilateral_indicator8_disag_value8</vt:lpstr>
      <vt:lpstr>bilateral_indicator8_disag_value9</vt:lpstr>
      <vt:lpstr>budget_headings</vt:lpstr>
      <vt:lpstr>budget_chapters_column</vt:lpstr>
      <vt:lpstr>budget_table</vt:lpstr>
      <vt:lpstr>call_code</vt:lpstr>
      <vt:lpstr>cash_cofinancing_applicant</vt:lpstr>
      <vt:lpstr>cash_cofinancing_partner1</vt:lpstr>
      <vt:lpstr>cash_cofinancing_partner2</vt:lpstr>
      <vt:lpstr>cash_cofinancing_partner3</vt:lpstr>
      <vt:lpstr>cash_cofinancing_partner4</vt:lpstr>
      <vt:lpstr>cash_cofinancing_total</vt:lpstr>
      <vt:lpstr>cash_costs_claimed_applicant</vt:lpstr>
      <vt:lpstr>cash_costs_claimed_eligible_applicant</vt:lpstr>
      <vt:lpstr>cash_costs_claimed_eligible_partner1</vt:lpstr>
      <vt:lpstr>cash_costs_claimed_eligible_partner2</vt:lpstr>
      <vt:lpstr>cash_costs_claimed_eligible_partner3</vt:lpstr>
      <vt:lpstr>cash_costs_claimed_eligible_partner4</vt:lpstr>
      <vt:lpstr>cash_costs_claimed_eligible_total</vt:lpstr>
      <vt:lpstr>cash_costs_claimed_partner1</vt:lpstr>
      <vt:lpstr>cash_costs_claimed_partner2</vt:lpstr>
      <vt:lpstr>cash_costs_claimed_partner3</vt:lpstr>
      <vt:lpstr>cash_costs_claimed_partner4</vt:lpstr>
      <vt:lpstr>cash_costs_claimed_total</vt:lpstr>
      <vt:lpstr>cash_costs_settled_applicant</vt:lpstr>
      <vt:lpstr>cash_costs_settled_partner1</vt:lpstr>
      <vt:lpstr>cash_costs_settled_partner2</vt:lpstr>
      <vt:lpstr>cash_costs_settled_partner3</vt:lpstr>
      <vt:lpstr>cash_costs_settled_partner4</vt:lpstr>
      <vt:lpstr>cash_costs_settled_total</vt:lpstr>
      <vt:lpstr>claimed_amount_column</vt:lpstr>
      <vt:lpstr>component</vt:lpstr>
      <vt:lpstr>contract_number</vt:lpstr>
      <vt:lpstr>costs_current_total_activity1</vt:lpstr>
      <vt:lpstr>costs_current_total_activity2</vt:lpstr>
      <vt:lpstr>costs_current_total_activity3</vt:lpstr>
      <vt:lpstr>costs_current_total_activity4</vt:lpstr>
      <vt:lpstr>costs_current_total_activity5</vt:lpstr>
      <vt:lpstr>costs_current_total_activity6</vt:lpstr>
      <vt:lpstr>costs_current_total_activity7</vt:lpstr>
      <vt:lpstr>costs_current_total_activity8</vt:lpstr>
      <vt:lpstr>costs_current_total_management</vt:lpstr>
      <vt:lpstr>costs_left_total_activity1</vt:lpstr>
      <vt:lpstr>costs_left_total_activity2</vt:lpstr>
      <vt:lpstr>costs_left_total_activity3</vt:lpstr>
      <vt:lpstr>costs_left_total_activity4</vt:lpstr>
      <vt:lpstr>costs_left_total_activity5</vt:lpstr>
      <vt:lpstr>costs_left_total_activity6</vt:lpstr>
      <vt:lpstr>costs_left_total_activity7</vt:lpstr>
      <vt:lpstr>costs_left_total_activity8</vt:lpstr>
      <vt:lpstr>costs_left_total_management</vt:lpstr>
      <vt:lpstr>costs_left_total_percentage_activity1</vt:lpstr>
      <vt:lpstr>costs_left_total_percentage_activity2</vt:lpstr>
      <vt:lpstr>costs_left_total_percentage_activity3</vt:lpstr>
      <vt:lpstr>costs_left_total_percentage_activity4</vt:lpstr>
      <vt:lpstr>costs_left_total_percentage_activity5</vt:lpstr>
      <vt:lpstr>costs_left_total_percentage_activity6</vt:lpstr>
      <vt:lpstr>costs_left_total_percentage_activity7</vt:lpstr>
      <vt:lpstr>costs_left_total_percentage_activity8</vt:lpstr>
      <vt:lpstr>costs_left_total_percentage_management</vt:lpstr>
      <vt:lpstr>costs_planned_total_activity1</vt:lpstr>
      <vt:lpstr>costs_planned_total_activity2</vt:lpstr>
      <vt:lpstr>costs_planned_total_activity3</vt:lpstr>
      <vt:lpstr>costs_planned_total_activity4</vt:lpstr>
      <vt:lpstr>costs_planned_total_activity5</vt:lpstr>
      <vt:lpstr>costs_planned_total_activity6</vt:lpstr>
      <vt:lpstr>costs_planned_total_activity7</vt:lpstr>
      <vt:lpstr>costs_planned_total_activity8</vt:lpstr>
      <vt:lpstr>costs_planned_total_management</vt:lpstr>
      <vt:lpstr>costs_real_total_activity1</vt:lpstr>
      <vt:lpstr>costs_real_total_activity2</vt:lpstr>
      <vt:lpstr>costs_real_total_activity3</vt:lpstr>
      <vt:lpstr>costs_real_total_activity4</vt:lpstr>
      <vt:lpstr>costs_real_total_activity5</vt:lpstr>
      <vt:lpstr>costs_real_total_activity6</vt:lpstr>
      <vt:lpstr>costs_real_total_activity7</vt:lpstr>
      <vt:lpstr>costs_real_total_activity8</vt:lpstr>
      <vt:lpstr>costs_real_total_management</vt:lpstr>
      <vt:lpstr>cross_cutting_issues_contribution</vt:lpstr>
      <vt:lpstr>direct_costs_applicant</vt:lpstr>
      <vt:lpstr>direct_costs_claimed_applicant</vt:lpstr>
      <vt:lpstr>direct_costs_claimed_partner1</vt:lpstr>
      <vt:lpstr>direct_costs_claimed_partner2</vt:lpstr>
      <vt:lpstr>direct_costs_claimed_partner3</vt:lpstr>
      <vt:lpstr>direct_costs_claimed_partner4</vt:lpstr>
      <vt:lpstr>direct_costs_claimed_total</vt:lpstr>
      <vt:lpstr>direct_costs_partner1</vt:lpstr>
      <vt:lpstr>direct_costs_partner2</vt:lpstr>
      <vt:lpstr>direct_costs_partner3</vt:lpstr>
      <vt:lpstr>direct_costs_partner4</vt:lpstr>
      <vt:lpstr>direct_costs_settled_applicant</vt:lpstr>
      <vt:lpstr>direct_costs_settled_partner1</vt:lpstr>
      <vt:lpstr>direct_costs_settled_partner2</vt:lpstr>
      <vt:lpstr>direct_costs_settled_partner3</vt:lpstr>
      <vt:lpstr>direct_costs_settled_partner4</vt:lpstr>
      <vt:lpstr>direct_costs_settled_total</vt:lpstr>
      <vt:lpstr>direct_costs_total</vt:lpstr>
      <vt:lpstr>effective_of</vt:lpstr>
      <vt:lpstr>eight_reimbursement_date</vt:lpstr>
      <vt:lpstr>eight_reimbursement_partner1</vt:lpstr>
      <vt:lpstr>eight_reimbursement_partner2</vt:lpstr>
      <vt:lpstr>eight_reimbursement_partner3</vt:lpstr>
      <vt:lpstr>eight_reimbursement_partner4</vt:lpstr>
      <vt:lpstr>eight_reimbursement_promoter</vt:lpstr>
      <vt:lpstr>eight_reimbursement_total</vt:lpstr>
      <vt:lpstr>entities</vt:lpstr>
      <vt:lpstr>equipment_approved_on1</vt:lpstr>
      <vt:lpstr>equipment_approved_on10</vt:lpstr>
      <vt:lpstr>equipment_approved_on11</vt:lpstr>
      <vt:lpstr>equipment_approved_on12</vt:lpstr>
      <vt:lpstr>equipment_approved_on13</vt:lpstr>
      <vt:lpstr>equipment_approved_on14</vt:lpstr>
      <vt:lpstr>equipment_approved_on15</vt:lpstr>
      <vt:lpstr>equipment_approved_on16</vt:lpstr>
      <vt:lpstr>equipment_approved_on17</vt:lpstr>
      <vt:lpstr>equipment_approved_on18</vt:lpstr>
      <vt:lpstr>equipment_approved_on19</vt:lpstr>
      <vt:lpstr>equipment_approved_on2</vt:lpstr>
      <vt:lpstr>equipment_approved_on20</vt:lpstr>
      <vt:lpstr>equipment_approved_on21</vt:lpstr>
      <vt:lpstr>equipment_approved_on22</vt:lpstr>
      <vt:lpstr>equipment_approved_on23</vt:lpstr>
      <vt:lpstr>equipment_approved_on24</vt:lpstr>
      <vt:lpstr>equipment_approved_on25</vt:lpstr>
      <vt:lpstr>equipment_approved_on26</vt:lpstr>
      <vt:lpstr>equipment_approved_on27</vt:lpstr>
      <vt:lpstr>equipment_approved_on28</vt:lpstr>
      <vt:lpstr>equipment_approved_on29</vt:lpstr>
      <vt:lpstr>equipment_approved_on3</vt:lpstr>
      <vt:lpstr>equipment_approved_on30</vt:lpstr>
      <vt:lpstr>equipment_approved_on31</vt:lpstr>
      <vt:lpstr>equipment_approved_on32</vt:lpstr>
      <vt:lpstr>equipment_approved_on33</vt:lpstr>
      <vt:lpstr>equipment_approved_on34</vt:lpstr>
      <vt:lpstr>equipment_approved_on35</vt:lpstr>
      <vt:lpstr>equipment_approved_on36</vt:lpstr>
      <vt:lpstr>equipment_approved_on37</vt:lpstr>
      <vt:lpstr>equipment_approved_on38</vt:lpstr>
      <vt:lpstr>equipment_approved_on39</vt:lpstr>
      <vt:lpstr>equipment_approved_on4</vt:lpstr>
      <vt:lpstr>equipment_approved_on40</vt:lpstr>
      <vt:lpstr>equipment_approved_on41</vt:lpstr>
      <vt:lpstr>equipment_approved_on42</vt:lpstr>
      <vt:lpstr>equipment_approved_on43</vt:lpstr>
      <vt:lpstr>equipment_approved_on44</vt:lpstr>
      <vt:lpstr>equipment_approved_on5</vt:lpstr>
      <vt:lpstr>equipment_approved_on6</vt:lpstr>
      <vt:lpstr>equipment_approved_on7</vt:lpstr>
      <vt:lpstr>equipment_approved_on8</vt:lpstr>
      <vt:lpstr>equipment_approved_on9</vt:lpstr>
      <vt:lpstr>equipment_inventory_ID1</vt:lpstr>
      <vt:lpstr>equipment_inventory_ID10</vt:lpstr>
      <vt:lpstr>equipment_inventory_ID11</vt:lpstr>
      <vt:lpstr>equipment_inventory_ID12</vt:lpstr>
      <vt:lpstr>equipment_inventory_ID13</vt:lpstr>
      <vt:lpstr>equipment_inventory_ID14</vt:lpstr>
      <vt:lpstr>equipment_inventory_ID15</vt:lpstr>
      <vt:lpstr>equipment_inventory_ID16</vt:lpstr>
      <vt:lpstr>equipment_inventory_ID17</vt:lpstr>
      <vt:lpstr>equipment_inventory_ID18</vt:lpstr>
      <vt:lpstr>equipment_inventory_ID19</vt:lpstr>
      <vt:lpstr>equipment_inventory_ID2</vt:lpstr>
      <vt:lpstr>equipment_inventory_ID20</vt:lpstr>
      <vt:lpstr>equipment_inventory_ID21</vt:lpstr>
      <vt:lpstr>equipment_inventory_ID22</vt:lpstr>
      <vt:lpstr>equipment_inventory_ID23</vt:lpstr>
      <vt:lpstr>equipment_inventory_ID24</vt:lpstr>
      <vt:lpstr>equipment_inventory_ID25</vt:lpstr>
      <vt:lpstr>equipment_inventory_ID26</vt:lpstr>
      <vt:lpstr>equipment_inventory_ID27</vt:lpstr>
      <vt:lpstr>equipment_inventory_ID28</vt:lpstr>
      <vt:lpstr>equipment_inventory_ID29</vt:lpstr>
      <vt:lpstr>equipment_inventory_ID3</vt:lpstr>
      <vt:lpstr>equipment_inventory_ID30</vt:lpstr>
      <vt:lpstr>equipment_inventory_ID31</vt:lpstr>
      <vt:lpstr>equipment_inventory_ID32</vt:lpstr>
      <vt:lpstr>equipment_inventory_ID33</vt:lpstr>
      <vt:lpstr>equipment_inventory_ID34</vt:lpstr>
      <vt:lpstr>equipment_inventory_ID35</vt:lpstr>
      <vt:lpstr>equipment_inventory_ID36</vt:lpstr>
      <vt:lpstr>equipment_inventory_ID37</vt:lpstr>
      <vt:lpstr>equipment_inventory_ID38</vt:lpstr>
      <vt:lpstr>equipment_inventory_ID39</vt:lpstr>
      <vt:lpstr>equipment_inventory_ID4</vt:lpstr>
      <vt:lpstr>equipment_inventory_ID40</vt:lpstr>
      <vt:lpstr>equipment_inventory_ID41</vt:lpstr>
      <vt:lpstr>equipment_inventory_ID42</vt:lpstr>
      <vt:lpstr>equipment_inventory_ID43</vt:lpstr>
      <vt:lpstr>equipment_inventory_ID44</vt:lpstr>
      <vt:lpstr>equipment_inventory_ID5</vt:lpstr>
      <vt:lpstr>equipment_inventory_ID6</vt:lpstr>
      <vt:lpstr>equipment_inventory_ID7</vt:lpstr>
      <vt:lpstr>equipment_inventory_ID8</vt:lpstr>
      <vt:lpstr>equipment_inventory_ID9</vt:lpstr>
      <vt:lpstr>equipment_invoice_number1</vt:lpstr>
      <vt:lpstr>equipment_invoice_number10</vt:lpstr>
      <vt:lpstr>equipment_invoice_number11</vt:lpstr>
      <vt:lpstr>equipment_invoice_number12</vt:lpstr>
      <vt:lpstr>equipment_invoice_number13</vt:lpstr>
      <vt:lpstr>equipment_invoice_number14</vt:lpstr>
      <vt:lpstr>equipment_invoice_number15</vt:lpstr>
      <vt:lpstr>equipment_invoice_number16</vt:lpstr>
      <vt:lpstr>equipment_invoice_number17</vt:lpstr>
      <vt:lpstr>equipment_invoice_number18</vt:lpstr>
      <vt:lpstr>equipment_invoice_number19</vt:lpstr>
      <vt:lpstr>equipment_invoice_number2</vt:lpstr>
      <vt:lpstr>equipment_invoice_number20</vt:lpstr>
      <vt:lpstr>equipment_invoice_number21</vt:lpstr>
      <vt:lpstr>equipment_invoice_number22</vt:lpstr>
      <vt:lpstr>equipment_invoice_number23</vt:lpstr>
      <vt:lpstr>equipment_invoice_number24</vt:lpstr>
      <vt:lpstr>equipment_invoice_number25</vt:lpstr>
      <vt:lpstr>equipment_invoice_number26</vt:lpstr>
      <vt:lpstr>equipment_invoice_number27</vt:lpstr>
      <vt:lpstr>equipment_invoice_number28</vt:lpstr>
      <vt:lpstr>equipment_invoice_number29</vt:lpstr>
      <vt:lpstr>equipment_invoice_number3</vt:lpstr>
      <vt:lpstr>equipment_invoice_number30</vt:lpstr>
      <vt:lpstr>equipment_invoice_number31</vt:lpstr>
      <vt:lpstr>equipment_invoice_number32</vt:lpstr>
      <vt:lpstr>equipment_invoice_number33</vt:lpstr>
      <vt:lpstr>equipment_invoice_number34</vt:lpstr>
      <vt:lpstr>equipment_invoice_number35</vt:lpstr>
      <vt:lpstr>equipment_invoice_number36</vt:lpstr>
      <vt:lpstr>equipment_invoice_number37</vt:lpstr>
      <vt:lpstr>equipment_invoice_number38</vt:lpstr>
      <vt:lpstr>equipment_invoice_number39</vt:lpstr>
      <vt:lpstr>equipment_invoice_number4</vt:lpstr>
      <vt:lpstr>equipment_invoice_number40</vt:lpstr>
      <vt:lpstr>equipment_invoice_number41</vt:lpstr>
      <vt:lpstr>equipment_invoice_number42</vt:lpstr>
      <vt:lpstr>equipment_invoice_number43</vt:lpstr>
      <vt:lpstr>equipment_invoice_number44</vt:lpstr>
      <vt:lpstr>equipment_invoice_number5</vt:lpstr>
      <vt:lpstr>equipment_invoice_number6</vt:lpstr>
      <vt:lpstr>equipment_invoice_number7</vt:lpstr>
      <vt:lpstr>equipment_invoice_number8</vt:lpstr>
      <vt:lpstr>equipment_invoice_number9</vt:lpstr>
      <vt:lpstr>equipment_purchase_price1</vt:lpstr>
      <vt:lpstr>equipment_purchase_price10</vt:lpstr>
      <vt:lpstr>equipment_purchase_price11</vt:lpstr>
      <vt:lpstr>equipment_purchase_price12</vt:lpstr>
      <vt:lpstr>equipment_purchase_price13</vt:lpstr>
      <vt:lpstr>equipment_purchase_price14</vt:lpstr>
      <vt:lpstr>equipment_purchase_price15</vt:lpstr>
      <vt:lpstr>equipment_purchase_price16</vt:lpstr>
      <vt:lpstr>equipment_purchase_price17</vt:lpstr>
      <vt:lpstr>equipment_purchase_price18</vt:lpstr>
      <vt:lpstr>equipment_purchase_price19</vt:lpstr>
      <vt:lpstr>equipment_purchase_price2</vt:lpstr>
      <vt:lpstr>equipment_purchase_price20</vt:lpstr>
      <vt:lpstr>equipment_purchase_price21</vt:lpstr>
      <vt:lpstr>equipment_purchase_price22</vt:lpstr>
      <vt:lpstr>equipment_purchase_price23</vt:lpstr>
      <vt:lpstr>equipment_purchase_price24</vt:lpstr>
      <vt:lpstr>equipment_purchase_price25</vt:lpstr>
      <vt:lpstr>equipment_purchase_price26</vt:lpstr>
      <vt:lpstr>equipment_purchase_price27</vt:lpstr>
      <vt:lpstr>equipment_purchase_price28</vt:lpstr>
      <vt:lpstr>equipment_purchase_price29</vt:lpstr>
      <vt:lpstr>equipment_purchase_price3</vt:lpstr>
      <vt:lpstr>equipment_purchase_price30</vt:lpstr>
      <vt:lpstr>equipment_purchase_price31</vt:lpstr>
      <vt:lpstr>equipment_purchase_price32</vt:lpstr>
      <vt:lpstr>equipment_purchase_price33</vt:lpstr>
      <vt:lpstr>equipment_purchase_price34</vt:lpstr>
      <vt:lpstr>equipment_purchase_price35</vt:lpstr>
      <vt:lpstr>equipment_purchase_price36</vt:lpstr>
      <vt:lpstr>equipment_purchase_price37</vt:lpstr>
      <vt:lpstr>equipment_purchase_price38</vt:lpstr>
      <vt:lpstr>equipment_purchase_price39</vt:lpstr>
      <vt:lpstr>equipment_purchase_price4</vt:lpstr>
      <vt:lpstr>equipment_purchase_price40</vt:lpstr>
      <vt:lpstr>equipment_purchase_price41</vt:lpstr>
      <vt:lpstr>equipment_purchase_price42</vt:lpstr>
      <vt:lpstr>equipment_purchase_price43</vt:lpstr>
      <vt:lpstr>equipment_purchase_price44</vt:lpstr>
      <vt:lpstr>equipment_purchase_price5</vt:lpstr>
      <vt:lpstr>equipment_purchase_price6</vt:lpstr>
      <vt:lpstr>equipment_purchase_price7</vt:lpstr>
      <vt:lpstr>equipment_purchase_price8</vt:lpstr>
      <vt:lpstr>equipment_purchase_price9</vt:lpstr>
      <vt:lpstr>equipment_relates_to1</vt:lpstr>
      <vt:lpstr>equipment_relates_to10</vt:lpstr>
      <vt:lpstr>equipment_relates_to11</vt:lpstr>
      <vt:lpstr>equipment_relates_to12</vt:lpstr>
      <vt:lpstr>equipment_relates_to13</vt:lpstr>
      <vt:lpstr>equipment_relates_to14</vt:lpstr>
      <vt:lpstr>equipment_relates_to15</vt:lpstr>
      <vt:lpstr>equipment_relates_to16</vt:lpstr>
      <vt:lpstr>equipment_relates_to17</vt:lpstr>
      <vt:lpstr>equipment_relates_to18</vt:lpstr>
      <vt:lpstr>equipment_relates_to19</vt:lpstr>
      <vt:lpstr>equipment_relates_to2</vt:lpstr>
      <vt:lpstr>equipment_relates_to20</vt:lpstr>
      <vt:lpstr>equipment_relates_to21</vt:lpstr>
      <vt:lpstr>equipment_relates_to22</vt:lpstr>
      <vt:lpstr>equipment_relates_to23</vt:lpstr>
      <vt:lpstr>equipment_relates_to24</vt:lpstr>
      <vt:lpstr>equipment_relates_to25</vt:lpstr>
      <vt:lpstr>equipment_relates_to26</vt:lpstr>
      <vt:lpstr>equipment_relates_to27</vt:lpstr>
      <vt:lpstr>equipment_relates_to28</vt:lpstr>
      <vt:lpstr>equipment_relates_to29</vt:lpstr>
      <vt:lpstr>equipment_relates_to3</vt:lpstr>
      <vt:lpstr>equipment_relates_to30</vt:lpstr>
      <vt:lpstr>equipment_relates_to31</vt:lpstr>
      <vt:lpstr>equipment_relates_to32</vt:lpstr>
      <vt:lpstr>equipment_relates_to33</vt:lpstr>
      <vt:lpstr>equipment_relates_to34</vt:lpstr>
      <vt:lpstr>equipment_relates_to35</vt:lpstr>
      <vt:lpstr>equipment_relates_to36</vt:lpstr>
      <vt:lpstr>equipment_relates_to37</vt:lpstr>
      <vt:lpstr>equipment_relates_to38</vt:lpstr>
      <vt:lpstr>equipment_relates_to39</vt:lpstr>
      <vt:lpstr>equipment_relates_to4</vt:lpstr>
      <vt:lpstr>equipment_relates_to40</vt:lpstr>
      <vt:lpstr>equipment_relates_to41</vt:lpstr>
      <vt:lpstr>equipment_relates_to42</vt:lpstr>
      <vt:lpstr>equipment_relates_to43</vt:lpstr>
      <vt:lpstr>equipment_relates_to44</vt:lpstr>
      <vt:lpstr>equipment_relates_to5</vt:lpstr>
      <vt:lpstr>equipment_relates_to6</vt:lpstr>
      <vt:lpstr>equipment_relates_to7</vt:lpstr>
      <vt:lpstr>equipment_relates_to8</vt:lpstr>
      <vt:lpstr>equipment_relates_to9</vt:lpstr>
      <vt:lpstr>equipment_remarks1</vt:lpstr>
      <vt:lpstr>equipment_remarks10</vt:lpstr>
      <vt:lpstr>equipment_remarks11</vt:lpstr>
      <vt:lpstr>equipment_remarks12</vt:lpstr>
      <vt:lpstr>equipment_remarks13</vt:lpstr>
      <vt:lpstr>equipment_remarks14</vt:lpstr>
      <vt:lpstr>equipment_remarks15</vt:lpstr>
      <vt:lpstr>equipment_remarks16</vt:lpstr>
      <vt:lpstr>equipment_remarks17</vt:lpstr>
      <vt:lpstr>equipment_remarks18</vt:lpstr>
      <vt:lpstr>equipment_remarks19</vt:lpstr>
      <vt:lpstr>equipment_remarks2</vt:lpstr>
      <vt:lpstr>equipment_remarks20</vt:lpstr>
      <vt:lpstr>equipment_remarks21</vt:lpstr>
      <vt:lpstr>equipment_remarks22</vt:lpstr>
      <vt:lpstr>equipment_remarks23</vt:lpstr>
      <vt:lpstr>equipment_remarks24</vt:lpstr>
      <vt:lpstr>equipment_remarks25</vt:lpstr>
      <vt:lpstr>equipment_remarks26</vt:lpstr>
      <vt:lpstr>equipment_remarks27</vt:lpstr>
      <vt:lpstr>equipment_remarks28</vt:lpstr>
      <vt:lpstr>equipment_remarks29</vt:lpstr>
      <vt:lpstr>equipment_remarks3</vt:lpstr>
      <vt:lpstr>equipment_remarks30</vt:lpstr>
      <vt:lpstr>equipment_remarks31</vt:lpstr>
      <vt:lpstr>equipment_remarks32</vt:lpstr>
      <vt:lpstr>equipment_remarks33</vt:lpstr>
      <vt:lpstr>equipment_remarks34</vt:lpstr>
      <vt:lpstr>equipment_remarks35</vt:lpstr>
      <vt:lpstr>equipment_remarks36</vt:lpstr>
      <vt:lpstr>equipment_remarks37</vt:lpstr>
      <vt:lpstr>equipment_remarks38</vt:lpstr>
      <vt:lpstr>equipment_remarks39</vt:lpstr>
      <vt:lpstr>equipment_remarks4</vt:lpstr>
      <vt:lpstr>equipment_remarks40</vt:lpstr>
      <vt:lpstr>equipment_remarks41</vt:lpstr>
      <vt:lpstr>equipment_remarks42</vt:lpstr>
      <vt:lpstr>equipment_remarks43</vt:lpstr>
      <vt:lpstr>equipment_remarks44</vt:lpstr>
      <vt:lpstr>equipment_remarks5</vt:lpstr>
      <vt:lpstr>equipment_remarks6</vt:lpstr>
      <vt:lpstr>equipment_remarks7</vt:lpstr>
      <vt:lpstr>equipment_remarks8</vt:lpstr>
      <vt:lpstr>equipment_remarks9</vt:lpstr>
      <vt:lpstr>equipment_title1</vt:lpstr>
      <vt:lpstr>equipment_title10</vt:lpstr>
      <vt:lpstr>equipment_title11</vt:lpstr>
      <vt:lpstr>equipment_title12</vt:lpstr>
      <vt:lpstr>equipment_title13</vt:lpstr>
      <vt:lpstr>equipment_title14</vt:lpstr>
      <vt:lpstr>equipment_title15</vt:lpstr>
      <vt:lpstr>equipment_title16</vt:lpstr>
      <vt:lpstr>equipment_title17</vt:lpstr>
      <vt:lpstr>equipment_title18</vt:lpstr>
      <vt:lpstr>equipment_title19</vt:lpstr>
      <vt:lpstr>equipment_title2</vt:lpstr>
      <vt:lpstr>equipment_title20</vt:lpstr>
      <vt:lpstr>equipment_title21</vt:lpstr>
      <vt:lpstr>equipment_title22</vt:lpstr>
      <vt:lpstr>equipment_title23</vt:lpstr>
      <vt:lpstr>equipment_title24</vt:lpstr>
      <vt:lpstr>equipment_title25</vt:lpstr>
      <vt:lpstr>equipment_title26</vt:lpstr>
      <vt:lpstr>equipment_title27</vt:lpstr>
      <vt:lpstr>equipment_title28</vt:lpstr>
      <vt:lpstr>equipment_title29</vt:lpstr>
      <vt:lpstr>equipment_title3</vt:lpstr>
      <vt:lpstr>equipment_title30</vt:lpstr>
      <vt:lpstr>equipment_title31</vt:lpstr>
      <vt:lpstr>equipment_title32</vt:lpstr>
      <vt:lpstr>equipment_title33</vt:lpstr>
      <vt:lpstr>equipment_title34</vt:lpstr>
      <vt:lpstr>equipment_title35</vt:lpstr>
      <vt:lpstr>equipment_title36</vt:lpstr>
      <vt:lpstr>equipment_title37</vt:lpstr>
      <vt:lpstr>equipment_title38</vt:lpstr>
      <vt:lpstr>equipment_title39</vt:lpstr>
      <vt:lpstr>equipment_title4</vt:lpstr>
      <vt:lpstr>equipment_title40</vt:lpstr>
      <vt:lpstr>equipment_title5</vt:lpstr>
      <vt:lpstr>equipment_title6</vt:lpstr>
      <vt:lpstr>equipment_title7</vt:lpstr>
      <vt:lpstr>equipment_title8</vt:lpstr>
      <vt:lpstr>equipment_title9</vt:lpstr>
      <vt:lpstr>equipments_relates_to_range</vt:lpstr>
      <vt:lpstr>exempted_equipment_first_row</vt:lpstr>
      <vt:lpstr>expenditure_items_column</vt:lpstr>
      <vt:lpstr>fifth_interim_payment_date</vt:lpstr>
      <vt:lpstr>fifth_interim_payment_partner1</vt:lpstr>
      <vt:lpstr>fifth_interim_payment_partner2</vt:lpstr>
      <vt:lpstr>fifth_interim_payment_partner3</vt:lpstr>
      <vt:lpstr>fifth_interim_payment_partner4</vt:lpstr>
      <vt:lpstr>fifth_interim_payment_promoter</vt:lpstr>
      <vt:lpstr>fifth_interim_payment_total</vt:lpstr>
      <vt:lpstr>fifth_reimbursement_date</vt:lpstr>
      <vt:lpstr>fifth_reimbursement_partner1</vt:lpstr>
      <vt:lpstr>fifth_reimbursement_partner2</vt:lpstr>
      <vt:lpstr>fifth_reimbursement_partner3</vt:lpstr>
      <vt:lpstr>fifth_reimbursement_partner4</vt:lpstr>
      <vt:lpstr>fifth_reimbursement_promoter</vt:lpstr>
      <vt:lpstr>fifth_reimbursement_total</vt:lpstr>
      <vt:lpstr>final_eligibility_date</vt:lpstr>
      <vt:lpstr>final_payment_amount</vt:lpstr>
      <vt:lpstr>final_payment_cash_cofinancing_amount</vt:lpstr>
      <vt:lpstr>final_payment_condition_remarks1</vt:lpstr>
      <vt:lpstr>final_payment_condition_remarks10</vt:lpstr>
      <vt:lpstr>final_payment_condition_remarks11</vt:lpstr>
      <vt:lpstr>final_payment_condition_remarks12</vt:lpstr>
      <vt:lpstr>final_payment_condition_remarks13</vt:lpstr>
      <vt:lpstr>final_payment_condition_remarks14</vt:lpstr>
      <vt:lpstr>final_payment_condition_remarks15</vt:lpstr>
      <vt:lpstr>final_payment_condition_remarks16</vt:lpstr>
      <vt:lpstr>final_payment_condition_remarks17</vt:lpstr>
      <vt:lpstr>final_payment_condition_remarks18</vt:lpstr>
      <vt:lpstr>final_payment_condition_remarks19</vt:lpstr>
      <vt:lpstr>final_payment_condition_remarks2</vt:lpstr>
      <vt:lpstr>final_payment_condition_remarks20</vt:lpstr>
      <vt:lpstr>final_payment_condition_remarks3</vt:lpstr>
      <vt:lpstr>final_payment_condition_remarks4</vt:lpstr>
      <vt:lpstr>final_payment_condition_remarks5</vt:lpstr>
      <vt:lpstr>final_payment_condition_remarks6</vt:lpstr>
      <vt:lpstr>final_payment_condition_remarks7</vt:lpstr>
      <vt:lpstr>final_payment_condition_remarks8</vt:lpstr>
      <vt:lpstr>final_payment_condition_remarks9</vt:lpstr>
      <vt:lpstr>final_payment_condition_status1</vt:lpstr>
      <vt:lpstr>final_payment_condition_status10</vt:lpstr>
      <vt:lpstr>final_payment_condition_status11</vt:lpstr>
      <vt:lpstr>final_payment_condition_status12</vt:lpstr>
      <vt:lpstr>final_payment_condition_status13</vt:lpstr>
      <vt:lpstr>final_payment_condition_status14</vt:lpstr>
      <vt:lpstr>final_payment_condition_status15</vt:lpstr>
      <vt:lpstr>final_payment_condition_status16</vt:lpstr>
      <vt:lpstr>final_payment_condition_status17</vt:lpstr>
      <vt:lpstr>final_payment_condition_status18</vt:lpstr>
      <vt:lpstr>final_payment_condition_status19</vt:lpstr>
      <vt:lpstr>final_payment_condition_status2</vt:lpstr>
      <vt:lpstr>final_payment_condition_status20</vt:lpstr>
      <vt:lpstr>final_payment_condition_status3</vt:lpstr>
      <vt:lpstr>final_payment_condition_status4</vt:lpstr>
      <vt:lpstr>final_payment_condition_status5</vt:lpstr>
      <vt:lpstr>final_payment_condition_status6</vt:lpstr>
      <vt:lpstr>final_payment_condition_status7</vt:lpstr>
      <vt:lpstr>final_payment_condition_status8</vt:lpstr>
      <vt:lpstr>final_payment_condition_status9</vt:lpstr>
      <vt:lpstr>final_payment_condition1</vt:lpstr>
      <vt:lpstr>final_payment_condition10</vt:lpstr>
      <vt:lpstr>final_payment_condition11</vt:lpstr>
      <vt:lpstr>final_payment_condition12</vt:lpstr>
      <vt:lpstr>final_payment_condition13</vt:lpstr>
      <vt:lpstr>final_payment_condition14</vt:lpstr>
      <vt:lpstr>final_payment_condition15</vt:lpstr>
      <vt:lpstr>final_payment_condition16</vt:lpstr>
      <vt:lpstr>final_payment_condition17</vt:lpstr>
      <vt:lpstr>final_payment_condition18</vt:lpstr>
      <vt:lpstr>final_payment_condition19</vt:lpstr>
      <vt:lpstr>final_payment_condition2</vt:lpstr>
      <vt:lpstr>final_payment_condition20</vt:lpstr>
      <vt:lpstr>final_payment_condition3</vt:lpstr>
      <vt:lpstr>final_payment_condition4</vt:lpstr>
      <vt:lpstr>final_payment_condition5</vt:lpstr>
      <vt:lpstr>final_payment_condition6</vt:lpstr>
      <vt:lpstr>final_payment_condition7</vt:lpstr>
      <vt:lpstr>final_payment_condition8</vt:lpstr>
      <vt:lpstr>final_payment_condition9</vt:lpstr>
      <vt:lpstr>final_payment_date</vt:lpstr>
      <vt:lpstr>final_payment_financial_mechanism_amount</vt:lpstr>
      <vt:lpstr>final_payment_partner1</vt:lpstr>
      <vt:lpstr>final_payment_partner2</vt:lpstr>
      <vt:lpstr>final_payment_partner3</vt:lpstr>
      <vt:lpstr>final_payment_partner4</vt:lpstr>
      <vt:lpstr>final_payment_promoter</vt:lpstr>
      <vt:lpstr>final_payment_state_budget_amount</vt:lpstr>
      <vt:lpstr>final_payment_total</vt:lpstr>
      <vt:lpstr>final_percentage</vt:lpstr>
      <vt:lpstr>financial_mechanism</vt:lpstr>
      <vt:lpstr>first_extraordinary_payment_date</vt:lpstr>
      <vt:lpstr>first_extraordinary_payment_partner1</vt:lpstr>
      <vt:lpstr>first_extraordinary_payment_partner2</vt:lpstr>
      <vt:lpstr>first_extraordinary_payment_partner3</vt:lpstr>
      <vt:lpstr>first_extraordinary_payment_partner4</vt:lpstr>
      <vt:lpstr>first_extraordinary_payment_promoter</vt:lpstr>
      <vt:lpstr>first_extraordinary_payment_total</vt:lpstr>
      <vt:lpstr>first_interim_payment_date</vt:lpstr>
      <vt:lpstr>first_interim_payment_partner1</vt:lpstr>
      <vt:lpstr>first_interim_payment_partner2</vt:lpstr>
      <vt:lpstr>first_interim_payment_partner3</vt:lpstr>
      <vt:lpstr>first_interim_payment_partner4</vt:lpstr>
      <vt:lpstr>first_interim_payment_promoter</vt:lpstr>
      <vt:lpstr>first_interim_payment_total</vt:lpstr>
      <vt:lpstr>first_reimbursement_date</vt:lpstr>
      <vt:lpstr>first_reimbursement_partner1</vt:lpstr>
      <vt:lpstr>first_reimbursement_partner2</vt:lpstr>
      <vt:lpstr>first_reimbursement_partner3</vt:lpstr>
      <vt:lpstr>first_reimbursement_partner4</vt:lpstr>
      <vt:lpstr>first_reimbursement_promoter</vt:lpstr>
      <vt:lpstr>first_reimbursement_total</vt:lpstr>
      <vt:lpstr>fourth_extraordinary_payment_date</vt:lpstr>
      <vt:lpstr>fourth_extraordinary_payment_partner1</vt:lpstr>
      <vt:lpstr>fourth_extraordinary_payment_partner2</vt:lpstr>
      <vt:lpstr>fourth_extraordinary_payment_partner3</vt:lpstr>
      <vt:lpstr>fourth_extraordinary_payment_partner4</vt:lpstr>
      <vt:lpstr>fourth_extraordinary_payment_promoter</vt:lpstr>
      <vt:lpstr>fourth_extraordinary_payment_total</vt:lpstr>
      <vt:lpstr>fourth_interim_payment_date</vt:lpstr>
      <vt:lpstr>fourth_interim_payment_partner1</vt:lpstr>
      <vt:lpstr>fourth_interim_payment_partner2</vt:lpstr>
      <vt:lpstr>fourth_interim_payment_partner3</vt:lpstr>
      <vt:lpstr>fourth_interim_payment_partner4</vt:lpstr>
      <vt:lpstr>fourth_interim_payment_promoter</vt:lpstr>
      <vt:lpstr>fourth_interim_payment_total</vt:lpstr>
      <vt:lpstr>fourth_reimbursement_date</vt:lpstr>
      <vt:lpstr>fourth_reimbursement_partner1</vt:lpstr>
      <vt:lpstr>fourth_reimbursement_partner2</vt:lpstr>
      <vt:lpstr>fourth_reimbursement_partner3</vt:lpstr>
      <vt:lpstr>fourth_reimbursement_partner4</vt:lpstr>
      <vt:lpstr>fourth_reimbursement_promoter</vt:lpstr>
      <vt:lpstr>fourth_reimbursement_total</vt:lpstr>
      <vt:lpstr>fullfilment_status</vt:lpstr>
      <vt:lpstr>further_contract_condition_remarks1</vt:lpstr>
      <vt:lpstr>further_contract_condition_remarks10</vt:lpstr>
      <vt:lpstr>further_contract_condition_remarks11</vt:lpstr>
      <vt:lpstr>further_contract_condition_remarks12</vt:lpstr>
      <vt:lpstr>further_contract_condition_remarks13</vt:lpstr>
      <vt:lpstr>further_contract_condition_remarks14</vt:lpstr>
      <vt:lpstr>further_contract_condition_remarks15</vt:lpstr>
      <vt:lpstr>further_contract_condition_remarks16</vt:lpstr>
      <vt:lpstr>further_contract_condition_remarks17</vt:lpstr>
      <vt:lpstr>further_contract_condition_remarks18</vt:lpstr>
      <vt:lpstr>further_contract_condition_remarks19</vt:lpstr>
      <vt:lpstr>further_contract_condition_remarks2</vt:lpstr>
      <vt:lpstr>further_contract_condition_remarks20</vt:lpstr>
      <vt:lpstr>further_contract_condition_remarks3</vt:lpstr>
      <vt:lpstr>further_contract_condition_remarks4</vt:lpstr>
      <vt:lpstr>further_contract_condition_remarks5</vt:lpstr>
      <vt:lpstr>further_contract_condition_remarks6</vt:lpstr>
      <vt:lpstr>further_contract_condition_remarks7</vt:lpstr>
      <vt:lpstr>further_contract_condition_remarks8</vt:lpstr>
      <vt:lpstr>further_contract_condition_remarks9</vt:lpstr>
      <vt:lpstr>further_contract_condition_status1</vt:lpstr>
      <vt:lpstr>further_contract_condition_status10</vt:lpstr>
      <vt:lpstr>further_contract_condition_status11</vt:lpstr>
      <vt:lpstr>further_contract_condition_status12</vt:lpstr>
      <vt:lpstr>further_contract_condition_status13</vt:lpstr>
      <vt:lpstr>further_contract_condition_status14</vt:lpstr>
      <vt:lpstr>further_contract_condition_status15</vt:lpstr>
      <vt:lpstr>further_contract_condition_status16</vt:lpstr>
      <vt:lpstr>further_contract_condition_status17</vt:lpstr>
      <vt:lpstr>further_contract_condition_status18</vt:lpstr>
      <vt:lpstr>further_contract_condition_status19</vt:lpstr>
      <vt:lpstr>further_contract_condition_status2</vt:lpstr>
      <vt:lpstr>further_contract_condition_status20</vt:lpstr>
      <vt:lpstr>further_contract_condition_status3</vt:lpstr>
      <vt:lpstr>further_contract_condition_status4</vt:lpstr>
      <vt:lpstr>further_contract_condition_status5</vt:lpstr>
      <vt:lpstr>further_contract_condition_status6</vt:lpstr>
      <vt:lpstr>further_contract_condition_status7</vt:lpstr>
      <vt:lpstr>further_contract_condition_status8</vt:lpstr>
      <vt:lpstr>further_contract_condition_status9</vt:lpstr>
      <vt:lpstr>further_contract_condition1</vt:lpstr>
      <vt:lpstr>further_contract_condition10</vt:lpstr>
      <vt:lpstr>further_contract_condition11</vt:lpstr>
      <vt:lpstr>further_contract_condition12</vt:lpstr>
      <vt:lpstr>further_contract_condition13</vt:lpstr>
      <vt:lpstr>further_contract_condition14</vt:lpstr>
      <vt:lpstr>further_contract_condition15</vt:lpstr>
      <vt:lpstr>further_contract_condition16</vt:lpstr>
      <vt:lpstr>further_contract_condition17</vt:lpstr>
      <vt:lpstr>further_contract_condition18</vt:lpstr>
      <vt:lpstr>further_contract_condition19</vt:lpstr>
      <vt:lpstr>further_contract_condition2</vt:lpstr>
      <vt:lpstr>further_contract_condition20</vt:lpstr>
      <vt:lpstr>further_contract_condition3</vt:lpstr>
      <vt:lpstr>further_contract_condition4</vt:lpstr>
      <vt:lpstr>further_contract_condition5</vt:lpstr>
      <vt:lpstr>further_contract_condition6</vt:lpstr>
      <vt:lpstr>further_contract_condition7</vt:lpstr>
      <vt:lpstr>further_contract_condition8</vt:lpstr>
      <vt:lpstr>further_contract_condition9</vt:lpstr>
      <vt:lpstr>gender_equality_contribution</vt:lpstr>
      <vt:lpstr>gender_equality_remarks</vt:lpstr>
      <vt:lpstr>grant_on_payments_settlement_percentage</vt:lpstr>
      <vt:lpstr>grant_paid_after_approval_applicant</vt:lpstr>
      <vt:lpstr>grant_paid_after_approval_partner1</vt:lpstr>
      <vt:lpstr>grant_paid_after_approval_partner2</vt:lpstr>
      <vt:lpstr>grant_paid_after_approval_partner3</vt:lpstr>
      <vt:lpstr>grant_paid_after_approval_partner4</vt:lpstr>
      <vt:lpstr>grant_paid_after_approval_total</vt:lpstr>
      <vt:lpstr>grant_requested_applicant</vt:lpstr>
      <vt:lpstr>grant_requested_partner1</vt:lpstr>
      <vt:lpstr>grant_requested_partner2</vt:lpstr>
      <vt:lpstr>grant_requested_partner3</vt:lpstr>
      <vt:lpstr>grant_requested_partner4</vt:lpstr>
      <vt:lpstr>grant_requested_total</vt:lpstr>
      <vt:lpstr>grant_settled_after_approval_applicant</vt:lpstr>
      <vt:lpstr>grant_settled_after_approval_partner1</vt:lpstr>
      <vt:lpstr>grant_settled_after_approval_partner2</vt:lpstr>
      <vt:lpstr>grant_settled_after_approval_partner3</vt:lpstr>
      <vt:lpstr>grant_settled_after_approval_partner4</vt:lpstr>
      <vt:lpstr>grant_settled_after_approval_total</vt:lpstr>
      <vt:lpstr>in_kind_acummulated_applicant</vt:lpstr>
      <vt:lpstr>in_kind_acummulated_partner1</vt:lpstr>
      <vt:lpstr>in_kind_acummulated_partner2</vt:lpstr>
      <vt:lpstr>in_kind_acummulated_partner3</vt:lpstr>
      <vt:lpstr>in_kind_acummulated_partner4</vt:lpstr>
      <vt:lpstr>in_kind_acummulated_total</vt:lpstr>
      <vt:lpstr>in_kind_applicant</vt:lpstr>
      <vt:lpstr>in_kind_claimed_applicant</vt:lpstr>
      <vt:lpstr>in_kind_claimed_partner1</vt:lpstr>
      <vt:lpstr>in_kind_claimed_partner2</vt:lpstr>
      <vt:lpstr>in_kind_claimed_partner3</vt:lpstr>
      <vt:lpstr>in_kind_claimed_partner4</vt:lpstr>
      <vt:lpstr>in_kind_claimed_total</vt:lpstr>
      <vt:lpstr>in_kind_partner1</vt:lpstr>
      <vt:lpstr>in_kind_partner2</vt:lpstr>
      <vt:lpstr>in_kind_partner3</vt:lpstr>
      <vt:lpstr>in_kind_partner4</vt:lpstr>
      <vt:lpstr>in_kind_rate</vt:lpstr>
      <vt:lpstr>in_kind_settled_applicant</vt:lpstr>
      <vt:lpstr>in_kind_settled_partner1</vt:lpstr>
      <vt:lpstr>in_kind_settled_partner2</vt:lpstr>
      <vt:lpstr>in_kind_settled_partner3</vt:lpstr>
      <vt:lpstr>in_kind_settled_partner4</vt:lpstr>
      <vt:lpstr>in_kind_settled_total</vt:lpstr>
      <vt:lpstr>in_kind_share_on_co_financing_applicant</vt:lpstr>
      <vt:lpstr>in_kind_share_on_co_financing_partner1</vt:lpstr>
      <vt:lpstr>in_kind_share_on_co_financing_partner2</vt:lpstr>
      <vt:lpstr>in_kind_share_on_co_financing_partner3</vt:lpstr>
      <vt:lpstr>in_kind_share_on_co_financing_partner4</vt:lpstr>
      <vt:lpstr>in_kind_share_on_co_financing_total</vt:lpstr>
      <vt:lpstr>in_kind_total</vt:lpstr>
      <vt:lpstr>indirect_costs_applicant</vt:lpstr>
      <vt:lpstr>indirect_costs_claimed_applicant</vt:lpstr>
      <vt:lpstr>indirect_costs_claimed_partner1</vt:lpstr>
      <vt:lpstr>indirect_costs_claimed_partner2</vt:lpstr>
      <vt:lpstr>indirect_costs_claimed_partner3</vt:lpstr>
      <vt:lpstr>indirect_costs_claimed_partner4</vt:lpstr>
      <vt:lpstr>indirect_costs_claimed_total</vt:lpstr>
      <vt:lpstr>indirect_costs_method_applicant</vt:lpstr>
      <vt:lpstr>indirect_costs_method_partner1</vt:lpstr>
      <vt:lpstr>indirect_costs_method_partner2</vt:lpstr>
      <vt:lpstr>indirect_costs_method_partner3</vt:lpstr>
      <vt:lpstr>indirect_costs_method_partner4</vt:lpstr>
      <vt:lpstr>indirect_costs_partner1</vt:lpstr>
      <vt:lpstr>indirect_costs_partner1_PSP1</vt:lpstr>
      <vt:lpstr>indirect_costs_partner1_PSP10</vt:lpstr>
      <vt:lpstr>indirect_costs_partner1_PSP11</vt:lpstr>
      <vt:lpstr>indirect_costs_partner1_PSP12</vt:lpstr>
      <vt:lpstr>indirect_costs_partner1_PSP2</vt:lpstr>
      <vt:lpstr>indirect_costs_partner1_PSP3</vt:lpstr>
      <vt:lpstr>indirect_costs_partner1_PSP4</vt:lpstr>
      <vt:lpstr>indirect_costs_partner1_PSP5</vt:lpstr>
      <vt:lpstr>indirect_costs_partner1_PSP6</vt:lpstr>
      <vt:lpstr>indirect_costs_partner1_PSP7</vt:lpstr>
      <vt:lpstr>indirect_costs_partner1_PSP8</vt:lpstr>
      <vt:lpstr>indirect_costs_partner1_PSP9</vt:lpstr>
      <vt:lpstr>indirect_costs_partner2</vt:lpstr>
      <vt:lpstr>indirect_costs_partner2_PSP1</vt:lpstr>
      <vt:lpstr>indirect_costs_partner2_PSP10</vt:lpstr>
      <vt:lpstr>indirect_costs_partner2_PSP11</vt:lpstr>
      <vt:lpstr>indirect_costs_partner2_PSP12</vt:lpstr>
      <vt:lpstr>indirect_costs_partner2_PSP2</vt:lpstr>
      <vt:lpstr>indirect_costs_partner2_PSP3</vt:lpstr>
      <vt:lpstr>indirect_costs_partner2_PSP4</vt:lpstr>
      <vt:lpstr>indirect_costs_partner2_PSP5</vt:lpstr>
      <vt:lpstr>indirect_costs_partner2_PSP6</vt:lpstr>
      <vt:lpstr>indirect_costs_partner2_PSP7</vt:lpstr>
      <vt:lpstr>indirect_costs_partner2_PSP8</vt:lpstr>
      <vt:lpstr>indirect_costs_partner2_PSP9</vt:lpstr>
      <vt:lpstr>indirect_costs_partner3</vt:lpstr>
      <vt:lpstr>indirect_costs_partner3_PSP1</vt:lpstr>
      <vt:lpstr>indirect_costs_partner3_PSP10</vt:lpstr>
      <vt:lpstr>indirect_costs_partner3_PSP11</vt:lpstr>
      <vt:lpstr>indirect_costs_partner3_PSP12</vt:lpstr>
      <vt:lpstr>indirect_costs_partner3_PSP2</vt:lpstr>
      <vt:lpstr>indirect_costs_partner3_PSP3</vt:lpstr>
      <vt:lpstr>indirect_costs_partner3_PSP4</vt:lpstr>
      <vt:lpstr>indirect_costs_partner3_PSP5</vt:lpstr>
      <vt:lpstr>indirect_costs_partner3_PSP6</vt:lpstr>
      <vt:lpstr>indirect_costs_partner3_PSP7</vt:lpstr>
      <vt:lpstr>indirect_costs_partner3_PSP8</vt:lpstr>
      <vt:lpstr>indirect_costs_partner3_PSP9</vt:lpstr>
      <vt:lpstr>indirect_costs_partner4</vt:lpstr>
      <vt:lpstr>indirect_costs_partner4_PSP1</vt:lpstr>
      <vt:lpstr>indirect_costs_partner4_PSP10</vt:lpstr>
      <vt:lpstr>indirect_costs_partner4_PSP11</vt:lpstr>
      <vt:lpstr>indirect_costs_partner4_PSP12</vt:lpstr>
      <vt:lpstr>indirect_costs_partner4_PSP2</vt:lpstr>
      <vt:lpstr>indirect_costs_partner4_PSP3</vt:lpstr>
      <vt:lpstr>indirect_costs_partner4_PSP4</vt:lpstr>
      <vt:lpstr>indirect_costs_partner4_PSP5</vt:lpstr>
      <vt:lpstr>indirect_costs_partner4_PSP6</vt:lpstr>
      <vt:lpstr>indirect_costs_partner4_PSP7</vt:lpstr>
      <vt:lpstr>indirect_costs_partner4_PSP8</vt:lpstr>
      <vt:lpstr>indirect_costs_partner4_PSP9</vt:lpstr>
      <vt:lpstr>indirect_costs_promoter_PSP1</vt:lpstr>
      <vt:lpstr>indirect_costs_promoter_PSP10</vt:lpstr>
      <vt:lpstr>indirect_costs_promoter_PSP11</vt:lpstr>
      <vt:lpstr>indirect_costs_promoter_PSP12</vt:lpstr>
      <vt:lpstr>indirect_costs_promoter_PSP2</vt:lpstr>
      <vt:lpstr>indirect_costs_promoter_PSP3</vt:lpstr>
      <vt:lpstr>indirect_costs_promoter_PSP4</vt:lpstr>
      <vt:lpstr>indirect_costs_promoter_PSP5</vt:lpstr>
      <vt:lpstr>indirect_costs_promoter_PSP6</vt:lpstr>
      <vt:lpstr>indirect_costs_promoter_PSP7</vt:lpstr>
      <vt:lpstr>indirect_costs_promoter_PSP8</vt:lpstr>
      <vt:lpstr>indirect_costs_promoter_PSP9</vt:lpstr>
      <vt:lpstr>indirect_costs_settled_applicant</vt:lpstr>
      <vt:lpstr>indirect_costs_settled_partner1</vt:lpstr>
      <vt:lpstr>indirect_costs_settled_partner2</vt:lpstr>
      <vt:lpstr>indirect_costs_settled_partner3</vt:lpstr>
      <vt:lpstr>indirect_costs_settled_partner4</vt:lpstr>
      <vt:lpstr>indirect_costs_settled_total</vt:lpstr>
      <vt:lpstr>indirect_costs_total</vt:lpstr>
      <vt:lpstr>indirect_costs_total_PSP1</vt:lpstr>
      <vt:lpstr>indirect_costs_total_PSP10</vt:lpstr>
      <vt:lpstr>indirect_costs_total_PSP11</vt:lpstr>
      <vt:lpstr>indirect_costs_total_PSP12</vt:lpstr>
      <vt:lpstr>indirect_costs_total_PSP2</vt:lpstr>
      <vt:lpstr>indirect_costs_total_PSP3</vt:lpstr>
      <vt:lpstr>indirect_costs_total_PSP4</vt:lpstr>
      <vt:lpstr>indirect_costs_total_PSP5</vt:lpstr>
      <vt:lpstr>indirect_costs_total_PSP6</vt:lpstr>
      <vt:lpstr>indirect_costs_total_PSP7</vt:lpstr>
      <vt:lpstr>indirect_costs_total_PSP8</vt:lpstr>
      <vt:lpstr>indirect_costs_total_PSP9</vt:lpstr>
      <vt:lpstr>ineligible_claimed_costs_applicant</vt:lpstr>
      <vt:lpstr>ineligible_claimed_costs_partner1</vt:lpstr>
      <vt:lpstr>ineligible_claimed_costs_partner2</vt:lpstr>
      <vt:lpstr>ineligible_claimed_costs_partner3</vt:lpstr>
      <vt:lpstr>ineligible_claimed_costs_partner4</vt:lpstr>
      <vt:lpstr>ineligible_claimed_costs_total</vt:lpstr>
      <vt:lpstr>ineligible_claimed_direct_costs_applicant</vt:lpstr>
      <vt:lpstr>ineligible_claimed_direct_costs_partner1</vt:lpstr>
      <vt:lpstr>ineligible_claimed_direct_costs_partner2</vt:lpstr>
      <vt:lpstr>ineligible_claimed_direct_costs_partner3</vt:lpstr>
      <vt:lpstr>ineligible_claimed_direct_costs_partner4</vt:lpstr>
      <vt:lpstr>ineligible_claimed_direct_costs_total</vt:lpstr>
      <vt:lpstr>ineligible_claimed_in_kind_applicant</vt:lpstr>
      <vt:lpstr>ineligible_claimed_in_kind_partner1</vt:lpstr>
      <vt:lpstr>ineligible_claimed_in_kind_partner2</vt:lpstr>
      <vt:lpstr>ineligible_claimed_in_kind_partner3</vt:lpstr>
      <vt:lpstr>ineligible_claimed_in_kind_partner4</vt:lpstr>
      <vt:lpstr>ineligible_claimed_in_kind_total</vt:lpstr>
      <vt:lpstr>ineligible_claimed_indirect_costs_applicant</vt:lpstr>
      <vt:lpstr>ineligible_claimed_indirect_costs_partner1</vt:lpstr>
      <vt:lpstr>ineligible_claimed_indirect_costs_partner2</vt:lpstr>
      <vt:lpstr>ineligible_claimed_indirect_costs_partner3</vt:lpstr>
      <vt:lpstr>ineligible_claimed_indirect_costs_partner4</vt:lpstr>
      <vt:lpstr>ineligible_claimed_indirect_costs_total</vt:lpstr>
      <vt:lpstr>ineligible_claimed_reserve_applicant</vt:lpstr>
      <vt:lpstr>ineligible_claimed_reserve_partner1</vt:lpstr>
      <vt:lpstr>ineligible_claimed_reserve_partner2</vt:lpstr>
      <vt:lpstr>ineligible_claimed_reserve_partner3</vt:lpstr>
      <vt:lpstr>ineligible_claimed_reserve_partner4</vt:lpstr>
      <vt:lpstr>ineligible_claimed_reserve_total</vt:lpstr>
      <vt:lpstr>ineligible_expenses_applicant</vt:lpstr>
      <vt:lpstr>ineligible_expenses_partner1</vt:lpstr>
      <vt:lpstr>ineligible_expenses_partner2</vt:lpstr>
      <vt:lpstr>ineligible_expenses_partner3</vt:lpstr>
      <vt:lpstr>ineligible_expenses_partner4</vt:lpstr>
      <vt:lpstr>ineligible_expenses_total</vt:lpstr>
      <vt:lpstr>inkind_contributions_partner1_PSP1</vt:lpstr>
      <vt:lpstr>inkind_contributions_partner1_PSP10</vt:lpstr>
      <vt:lpstr>inkind_contributions_partner1_PSP11</vt:lpstr>
      <vt:lpstr>inkind_contributions_partner1_PSP12</vt:lpstr>
      <vt:lpstr>inkind_contributions_partner1_PSP2</vt:lpstr>
      <vt:lpstr>inkind_contributions_partner1_PSP3</vt:lpstr>
      <vt:lpstr>inkind_contributions_partner1_PSP4</vt:lpstr>
      <vt:lpstr>inkind_contributions_partner1_PSP5</vt:lpstr>
      <vt:lpstr>inkind_contributions_partner1_PSP6</vt:lpstr>
      <vt:lpstr>inkind_contributions_partner1_PSP7</vt:lpstr>
      <vt:lpstr>inkind_contributions_partner1_PSP8</vt:lpstr>
      <vt:lpstr>inkind_contributions_partner1_PSP9</vt:lpstr>
      <vt:lpstr>inkind_contributions_partner2_PSP1</vt:lpstr>
      <vt:lpstr>inkind_contributions_partner2_PSP10</vt:lpstr>
      <vt:lpstr>inkind_contributions_partner2_PSP11</vt:lpstr>
      <vt:lpstr>inkind_contributions_partner2_PSP12</vt:lpstr>
      <vt:lpstr>inkind_contributions_partner2_PSP2</vt:lpstr>
      <vt:lpstr>inkind_contributions_partner2_PSP3</vt:lpstr>
      <vt:lpstr>inkind_contributions_partner2_PSP4</vt:lpstr>
      <vt:lpstr>inkind_contributions_partner2_PSP5</vt:lpstr>
      <vt:lpstr>inkind_contributions_partner2_PSP6</vt:lpstr>
      <vt:lpstr>inkind_contributions_partner2_PSP7</vt:lpstr>
      <vt:lpstr>inkind_contributions_partner2_PSP8</vt:lpstr>
      <vt:lpstr>inkind_contributions_partner2_PSP9</vt:lpstr>
      <vt:lpstr>inkind_contributions_partner3_PSP1</vt:lpstr>
      <vt:lpstr>inkind_contributions_partner3_PSP10</vt:lpstr>
      <vt:lpstr>inkind_contributions_partner3_PSP11</vt:lpstr>
      <vt:lpstr>inkind_contributions_partner3_PSP12</vt:lpstr>
      <vt:lpstr>inkind_contributions_partner3_PSP2</vt:lpstr>
      <vt:lpstr>inkind_contributions_partner3_PSP3</vt:lpstr>
      <vt:lpstr>inkind_contributions_partner3_PSP4</vt:lpstr>
      <vt:lpstr>inkind_contributions_partner3_PSP5</vt:lpstr>
      <vt:lpstr>inkind_contributions_partner3_PSP6</vt:lpstr>
      <vt:lpstr>inkind_contributions_partner3_PSP7</vt:lpstr>
      <vt:lpstr>inkind_contributions_partner3_PSP8</vt:lpstr>
      <vt:lpstr>inkind_contributions_partner3_PSP9</vt:lpstr>
      <vt:lpstr>inkind_contributions_partner4_PSP1</vt:lpstr>
      <vt:lpstr>inkind_contributions_partner4_PSP10</vt:lpstr>
      <vt:lpstr>inkind_contributions_partner4_PSP11</vt:lpstr>
      <vt:lpstr>inkind_contributions_partner4_PSP12</vt:lpstr>
      <vt:lpstr>inkind_contributions_partner4_PSP2</vt:lpstr>
      <vt:lpstr>inkind_contributions_partner4_PSP3</vt:lpstr>
      <vt:lpstr>inkind_contributions_partner4_PSP4</vt:lpstr>
      <vt:lpstr>inkind_contributions_partner4_PSP5</vt:lpstr>
      <vt:lpstr>inkind_contributions_partner4_PSP6</vt:lpstr>
      <vt:lpstr>inkind_contributions_partner4_PSP7</vt:lpstr>
      <vt:lpstr>inkind_contributions_partner4_PSP8</vt:lpstr>
      <vt:lpstr>inkind_contributions_partner4_PSP9</vt:lpstr>
      <vt:lpstr>inkind_contributions_promoter_PSP1</vt:lpstr>
      <vt:lpstr>inkind_contributions_promoter_PSP10</vt:lpstr>
      <vt:lpstr>inkind_contributions_promoter_PSP11</vt:lpstr>
      <vt:lpstr>inkind_contributions_promoter_PSP12</vt:lpstr>
      <vt:lpstr>inkind_contributions_promoter_PSP2</vt:lpstr>
      <vt:lpstr>inkind_contributions_promoter_PSP3</vt:lpstr>
      <vt:lpstr>inkind_contributions_promoter_PSP4</vt:lpstr>
      <vt:lpstr>inkind_contributions_promoter_PSP5</vt:lpstr>
      <vt:lpstr>inkind_contributions_promoter_PSP6</vt:lpstr>
      <vt:lpstr>inkind_contributions_promoter_PSP7</vt:lpstr>
      <vt:lpstr>inkind_contributions_promoter_PSP8</vt:lpstr>
      <vt:lpstr>inkind_contributions_promoter_PSP9</vt:lpstr>
      <vt:lpstr>inkind_contributions_total_PSP1</vt:lpstr>
      <vt:lpstr>inkind_contributions_total_PSP10</vt:lpstr>
      <vt:lpstr>inkind_contributions_total_PSP11</vt:lpstr>
      <vt:lpstr>inkind_contributions_total_PSP12</vt:lpstr>
      <vt:lpstr>inkind_contributions_total_PSP2</vt:lpstr>
      <vt:lpstr>inkind_contributions_total_PSP3</vt:lpstr>
      <vt:lpstr>inkind_contributions_total_PSP4</vt:lpstr>
      <vt:lpstr>inkind_contributions_total_PSP5</vt:lpstr>
      <vt:lpstr>inkind_contributions_total_PSP6</vt:lpstr>
      <vt:lpstr>inkind_contributions_total_PSP7</vt:lpstr>
      <vt:lpstr>inkind_contributions_total_PSP8</vt:lpstr>
      <vt:lpstr>inkind_contributions_total_PSP9</vt:lpstr>
      <vt:lpstr>interim_percentage1</vt:lpstr>
      <vt:lpstr>interim_percentage2</vt:lpstr>
      <vt:lpstr>interim_percentage3</vt:lpstr>
      <vt:lpstr>interim_percentage4</vt:lpstr>
      <vt:lpstr>interim_percentage5</vt:lpstr>
      <vt:lpstr>interim_percentage6</vt:lpstr>
      <vt:lpstr>interim_risk_score1</vt:lpstr>
      <vt:lpstr>interim_risk_score10</vt:lpstr>
      <vt:lpstr>interim_risk_score11</vt:lpstr>
      <vt:lpstr>interim_risk_score12</vt:lpstr>
      <vt:lpstr>interim_risk_score13</vt:lpstr>
      <vt:lpstr>interim_risk_score14</vt:lpstr>
      <vt:lpstr>interim_risk_score15</vt:lpstr>
      <vt:lpstr>interim_risk_score16</vt:lpstr>
      <vt:lpstr>interim_risk_score17</vt:lpstr>
      <vt:lpstr>interim_risk_score18</vt:lpstr>
      <vt:lpstr>interim_risk_score19</vt:lpstr>
      <vt:lpstr>interim_risk_score2</vt:lpstr>
      <vt:lpstr>interim_risk_score20</vt:lpstr>
      <vt:lpstr>interim_risk_score21</vt:lpstr>
      <vt:lpstr>interim_risk_score22</vt:lpstr>
      <vt:lpstr>interim_risk_score23</vt:lpstr>
      <vt:lpstr>interim_risk_score24</vt:lpstr>
      <vt:lpstr>interim_risk_score3</vt:lpstr>
      <vt:lpstr>interim_risk_score4</vt:lpstr>
      <vt:lpstr>interim_risk_score5</vt:lpstr>
      <vt:lpstr>interim_risk_score6</vt:lpstr>
      <vt:lpstr>interim_risk_score7</vt:lpstr>
      <vt:lpstr>interim_risk_score8</vt:lpstr>
      <vt:lpstr>interim_risk_score9</vt:lpstr>
      <vt:lpstr>is_annual_report</vt:lpstr>
      <vt:lpstr>is_entitled_for_next_payment</vt:lpstr>
      <vt:lpstr>is_final_report</vt:lpstr>
      <vt:lpstr>is_payment_requested</vt:lpstr>
      <vt:lpstr>last_payment_paid</vt:lpstr>
      <vt:lpstr>milestone_activity_relation1</vt:lpstr>
      <vt:lpstr>milestone_activity_relation10</vt:lpstr>
      <vt:lpstr>milestone_activity_relation11</vt:lpstr>
      <vt:lpstr>milestone_activity_relation12</vt:lpstr>
      <vt:lpstr>milestone_activity_relation13</vt:lpstr>
      <vt:lpstr>milestone_activity_relation14</vt:lpstr>
      <vt:lpstr>milestone_activity_relation15</vt:lpstr>
      <vt:lpstr>milestone_activity_relation16</vt:lpstr>
      <vt:lpstr>milestone_activity_relation17</vt:lpstr>
      <vt:lpstr>milestone_activity_relation18</vt:lpstr>
      <vt:lpstr>milestone_activity_relation19</vt:lpstr>
      <vt:lpstr>milestone_activity_relation2</vt:lpstr>
      <vt:lpstr>milestone_activity_relation20</vt:lpstr>
      <vt:lpstr>milestone_activity_relation21</vt:lpstr>
      <vt:lpstr>milestone_activity_relation22</vt:lpstr>
      <vt:lpstr>milestone_activity_relation23</vt:lpstr>
      <vt:lpstr>milestone_activity_relation24</vt:lpstr>
      <vt:lpstr>milestone_activity_relation25</vt:lpstr>
      <vt:lpstr>milestone_activity_relation26</vt:lpstr>
      <vt:lpstr>milestone_activity_relation27</vt:lpstr>
      <vt:lpstr>milestone_activity_relation28</vt:lpstr>
      <vt:lpstr>milestone_activity_relation29</vt:lpstr>
      <vt:lpstr>milestone_activity_relation3</vt:lpstr>
      <vt:lpstr>milestone_activity_relation30</vt:lpstr>
      <vt:lpstr>milestone_activity_relation31</vt:lpstr>
      <vt:lpstr>milestone_activity_relation32</vt:lpstr>
      <vt:lpstr>milestone_activity_relation33</vt:lpstr>
      <vt:lpstr>milestone_activity_relation34</vt:lpstr>
      <vt:lpstr>milestone_activity_relation35</vt:lpstr>
      <vt:lpstr>milestone_activity_relation36</vt:lpstr>
      <vt:lpstr>milestone_activity_relation37</vt:lpstr>
      <vt:lpstr>milestone_activity_relation38</vt:lpstr>
      <vt:lpstr>milestone_activity_relation39</vt:lpstr>
      <vt:lpstr>milestone_activity_relation4</vt:lpstr>
      <vt:lpstr>milestone_activity_relation40</vt:lpstr>
      <vt:lpstr>milestone_activity_relation5</vt:lpstr>
      <vt:lpstr>milestone_activity_relation6</vt:lpstr>
      <vt:lpstr>milestone_activity_relation7</vt:lpstr>
      <vt:lpstr>milestone_activity_relation8</vt:lpstr>
      <vt:lpstr>milestone_activity_relation9</vt:lpstr>
      <vt:lpstr>milestone_current_value1</vt:lpstr>
      <vt:lpstr>milestone_current_value10</vt:lpstr>
      <vt:lpstr>milestone_current_value11</vt:lpstr>
      <vt:lpstr>milestone_current_value12</vt:lpstr>
      <vt:lpstr>milestone_current_value13</vt:lpstr>
      <vt:lpstr>milestone_current_value14</vt:lpstr>
      <vt:lpstr>milestone_current_value15</vt:lpstr>
      <vt:lpstr>milestone_current_value16</vt:lpstr>
      <vt:lpstr>milestone_current_value17</vt:lpstr>
      <vt:lpstr>milestone_current_value18</vt:lpstr>
      <vt:lpstr>milestone_current_value19</vt:lpstr>
      <vt:lpstr>milestone_current_value2</vt:lpstr>
      <vt:lpstr>milestone_current_value20</vt:lpstr>
      <vt:lpstr>milestone_current_value21</vt:lpstr>
      <vt:lpstr>milestone_current_value22</vt:lpstr>
      <vt:lpstr>milestone_current_value23</vt:lpstr>
      <vt:lpstr>milestone_current_value24</vt:lpstr>
      <vt:lpstr>milestone_current_value25</vt:lpstr>
      <vt:lpstr>milestone_current_value26</vt:lpstr>
      <vt:lpstr>milestone_current_value27</vt:lpstr>
      <vt:lpstr>milestone_current_value28</vt:lpstr>
      <vt:lpstr>milestone_current_value29</vt:lpstr>
      <vt:lpstr>milestone_current_value3</vt:lpstr>
      <vt:lpstr>milestone_current_value30</vt:lpstr>
      <vt:lpstr>milestone_current_value31</vt:lpstr>
      <vt:lpstr>milestone_current_value32</vt:lpstr>
      <vt:lpstr>milestone_current_value33</vt:lpstr>
      <vt:lpstr>milestone_current_value34</vt:lpstr>
      <vt:lpstr>milestone_current_value35</vt:lpstr>
      <vt:lpstr>milestone_current_value36</vt:lpstr>
      <vt:lpstr>milestone_current_value37</vt:lpstr>
      <vt:lpstr>milestone_current_value38</vt:lpstr>
      <vt:lpstr>milestone_current_value39</vt:lpstr>
      <vt:lpstr>milestone_current_value4</vt:lpstr>
      <vt:lpstr>milestone_current_value40</vt:lpstr>
      <vt:lpstr>milestone_current_value5</vt:lpstr>
      <vt:lpstr>milestone_current_value6</vt:lpstr>
      <vt:lpstr>milestone_current_value7</vt:lpstr>
      <vt:lpstr>milestone_current_value8</vt:lpstr>
      <vt:lpstr>milestone_current_value9</vt:lpstr>
      <vt:lpstr>milestone_expected_end_date1</vt:lpstr>
      <vt:lpstr>milestone_expected_end_date10</vt:lpstr>
      <vt:lpstr>milestone_expected_end_date11</vt:lpstr>
      <vt:lpstr>milestone_expected_end_date12</vt:lpstr>
      <vt:lpstr>milestone_expected_end_date13</vt:lpstr>
      <vt:lpstr>milestone_expected_end_date14</vt:lpstr>
      <vt:lpstr>milestone_expected_end_date15</vt:lpstr>
      <vt:lpstr>milestone_expected_end_date16</vt:lpstr>
      <vt:lpstr>milestone_expected_end_date17</vt:lpstr>
      <vt:lpstr>milestone_expected_end_date18</vt:lpstr>
      <vt:lpstr>milestone_expected_end_date19</vt:lpstr>
      <vt:lpstr>milestone_expected_end_date2</vt:lpstr>
      <vt:lpstr>milestone_expected_end_date20</vt:lpstr>
      <vt:lpstr>milestone_expected_end_date21</vt:lpstr>
      <vt:lpstr>milestone_expected_end_date22</vt:lpstr>
      <vt:lpstr>milestone_expected_end_date23</vt:lpstr>
      <vt:lpstr>milestone_expected_end_date24</vt:lpstr>
      <vt:lpstr>milestone_expected_end_date25</vt:lpstr>
      <vt:lpstr>milestone_expected_end_date26</vt:lpstr>
      <vt:lpstr>milestone_expected_end_date27</vt:lpstr>
      <vt:lpstr>milestone_expected_end_date28</vt:lpstr>
      <vt:lpstr>milestone_expected_end_date29</vt:lpstr>
      <vt:lpstr>milestone_expected_end_date3</vt:lpstr>
      <vt:lpstr>milestone_expected_end_date30</vt:lpstr>
      <vt:lpstr>milestone_expected_end_date31</vt:lpstr>
      <vt:lpstr>milestone_expected_end_date32</vt:lpstr>
      <vt:lpstr>milestone_expected_end_date33</vt:lpstr>
      <vt:lpstr>milestone_expected_end_date34</vt:lpstr>
      <vt:lpstr>milestone_expected_end_date35</vt:lpstr>
      <vt:lpstr>milestone_expected_end_date36</vt:lpstr>
      <vt:lpstr>milestone_expected_end_date37</vt:lpstr>
      <vt:lpstr>milestone_expected_end_date38</vt:lpstr>
      <vt:lpstr>milestone_expected_end_date39</vt:lpstr>
      <vt:lpstr>milestone_expected_end_date4</vt:lpstr>
      <vt:lpstr>milestone_expected_end_date40</vt:lpstr>
      <vt:lpstr>milestone_expected_end_date5</vt:lpstr>
      <vt:lpstr>milestone_expected_end_date6</vt:lpstr>
      <vt:lpstr>milestone_expected_end_date7</vt:lpstr>
      <vt:lpstr>milestone_expected_end_date8</vt:lpstr>
      <vt:lpstr>milestone_expected_end_date9</vt:lpstr>
      <vt:lpstr>milestone_expected_start_date1</vt:lpstr>
      <vt:lpstr>milestone_expected_start_date10</vt:lpstr>
      <vt:lpstr>milestone_expected_start_date11</vt:lpstr>
      <vt:lpstr>milestone_expected_start_date12</vt:lpstr>
      <vt:lpstr>milestone_expected_start_date13</vt:lpstr>
      <vt:lpstr>milestone_expected_start_date14</vt:lpstr>
      <vt:lpstr>milestone_expected_start_date15</vt:lpstr>
      <vt:lpstr>milestone_expected_start_date16</vt:lpstr>
      <vt:lpstr>milestone_expected_start_date17</vt:lpstr>
      <vt:lpstr>milestone_expected_start_date18</vt:lpstr>
      <vt:lpstr>milestone_expected_start_date19</vt:lpstr>
      <vt:lpstr>milestone_expected_start_date2</vt:lpstr>
      <vt:lpstr>milestone_expected_start_date20</vt:lpstr>
      <vt:lpstr>milestone_expected_start_date21</vt:lpstr>
      <vt:lpstr>milestone_expected_start_date22</vt:lpstr>
      <vt:lpstr>milestone_expected_start_date23</vt:lpstr>
      <vt:lpstr>milestone_expected_start_date24</vt:lpstr>
      <vt:lpstr>milestone_expected_start_date25</vt:lpstr>
      <vt:lpstr>milestone_expected_start_date26</vt:lpstr>
      <vt:lpstr>milestone_expected_start_date27</vt:lpstr>
      <vt:lpstr>milestone_expected_start_date28</vt:lpstr>
      <vt:lpstr>milestone_expected_start_date29</vt:lpstr>
      <vt:lpstr>milestone_expected_start_date3</vt:lpstr>
      <vt:lpstr>milestone_expected_start_date30</vt:lpstr>
      <vt:lpstr>milestone_expected_start_date31</vt:lpstr>
      <vt:lpstr>milestone_expected_start_date32</vt:lpstr>
      <vt:lpstr>milestone_expected_start_date33</vt:lpstr>
      <vt:lpstr>milestone_expected_start_date34</vt:lpstr>
      <vt:lpstr>milestone_expected_start_date35</vt:lpstr>
      <vt:lpstr>milestone_expected_start_date36</vt:lpstr>
      <vt:lpstr>milestone_expected_start_date37</vt:lpstr>
      <vt:lpstr>milestone_expected_start_date38</vt:lpstr>
      <vt:lpstr>milestone_expected_start_date39</vt:lpstr>
      <vt:lpstr>milestone_expected_start_date4</vt:lpstr>
      <vt:lpstr>milestone_expected_start_date40</vt:lpstr>
      <vt:lpstr>milestone_expected_start_date5</vt:lpstr>
      <vt:lpstr>milestone_expected_start_date6</vt:lpstr>
      <vt:lpstr>milestone_expected_start_date7</vt:lpstr>
      <vt:lpstr>milestone_expected_start_date8</vt:lpstr>
      <vt:lpstr>milestone_expected_start_date9</vt:lpstr>
      <vt:lpstr>milestone_importance1</vt:lpstr>
      <vt:lpstr>milestone_importance10</vt:lpstr>
      <vt:lpstr>milestone_importance11</vt:lpstr>
      <vt:lpstr>milestone_importance12</vt:lpstr>
      <vt:lpstr>milestone_importance13</vt:lpstr>
      <vt:lpstr>milestone_importance14</vt:lpstr>
      <vt:lpstr>milestone_importance15</vt:lpstr>
      <vt:lpstr>milestone_importance16</vt:lpstr>
      <vt:lpstr>milestone_importance17</vt:lpstr>
      <vt:lpstr>milestone_importance18</vt:lpstr>
      <vt:lpstr>milestone_importance19</vt:lpstr>
      <vt:lpstr>milestone_importance2</vt:lpstr>
      <vt:lpstr>milestone_importance20</vt:lpstr>
      <vt:lpstr>milestone_importance21</vt:lpstr>
      <vt:lpstr>milestone_importance22</vt:lpstr>
      <vt:lpstr>milestone_importance23</vt:lpstr>
      <vt:lpstr>milestone_importance24</vt:lpstr>
      <vt:lpstr>milestone_importance25</vt:lpstr>
      <vt:lpstr>milestone_importance26</vt:lpstr>
      <vt:lpstr>milestone_importance27</vt:lpstr>
      <vt:lpstr>milestone_importance28</vt:lpstr>
      <vt:lpstr>milestone_importance29</vt:lpstr>
      <vt:lpstr>milestone_importance3</vt:lpstr>
      <vt:lpstr>milestone_importance30</vt:lpstr>
      <vt:lpstr>milestone_importance31</vt:lpstr>
      <vt:lpstr>milestone_importance32</vt:lpstr>
      <vt:lpstr>milestone_importance33</vt:lpstr>
      <vt:lpstr>milestone_importance34</vt:lpstr>
      <vt:lpstr>milestone_importance35</vt:lpstr>
      <vt:lpstr>milestone_importance36</vt:lpstr>
      <vt:lpstr>milestone_importance37</vt:lpstr>
      <vt:lpstr>milestone_importance38</vt:lpstr>
      <vt:lpstr>milestone_importance39</vt:lpstr>
      <vt:lpstr>milestone_importance4</vt:lpstr>
      <vt:lpstr>milestone_importance40</vt:lpstr>
      <vt:lpstr>milestone_importance5</vt:lpstr>
      <vt:lpstr>milestone_importance6</vt:lpstr>
      <vt:lpstr>milestone_importance7</vt:lpstr>
      <vt:lpstr>milestone_importance8</vt:lpstr>
      <vt:lpstr>milestone_importance9</vt:lpstr>
      <vt:lpstr>milestone_remarks1</vt:lpstr>
      <vt:lpstr>milestone_remarks10</vt:lpstr>
      <vt:lpstr>milestone_remarks11</vt:lpstr>
      <vt:lpstr>milestone_remarks12</vt:lpstr>
      <vt:lpstr>milestone_remarks13</vt:lpstr>
      <vt:lpstr>milestone_remarks14</vt:lpstr>
      <vt:lpstr>milestone_remarks15</vt:lpstr>
      <vt:lpstr>milestone_remarks16</vt:lpstr>
      <vt:lpstr>milestone_remarks17</vt:lpstr>
      <vt:lpstr>milestone_remarks18</vt:lpstr>
      <vt:lpstr>milestone_remarks19</vt:lpstr>
      <vt:lpstr>milestone_remarks2</vt:lpstr>
      <vt:lpstr>milestone_remarks20</vt:lpstr>
      <vt:lpstr>milestone_remarks21</vt:lpstr>
      <vt:lpstr>milestone_remarks22</vt:lpstr>
      <vt:lpstr>milestone_remarks23</vt:lpstr>
      <vt:lpstr>milestone_remarks24</vt:lpstr>
      <vt:lpstr>milestone_remarks25</vt:lpstr>
      <vt:lpstr>milestone_remarks26</vt:lpstr>
      <vt:lpstr>milestone_remarks27</vt:lpstr>
      <vt:lpstr>milestone_remarks28</vt:lpstr>
      <vt:lpstr>milestone_remarks29</vt:lpstr>
      <vt:lpstr>milestone_remarks3</vt:lpstr>
      <vt:lpstr>milestone_remarks30</vt:lpstr>
      <vt:lpstr>milestone_remarks31</vt:lpstr>
      <vt:lpstr>milestone_remarks32</vt:lpstr>
      <vt:lpstr>milestone_remarks33</vt:lpstr>
      <vt:lpstr>milestone_remarks34</vt:lpstr>
      <vt:lpstr>milestone_remarks35</vt:lpstr>
      <vt:lpstr>milestone_remarks36</vt:lpstr>
      <vt:lpstr>milestone_remarks37</vt:lpstr>
      <vt:lpstr>milestone_remarks38</vt:lpstr>
      <vt:lpstr>milestone_remarks39</vt:lpstr>
      <vt:lpstr>milestone_remarks4</vt:lpstr>
      <vt:lpstr>milestone_remarks40</vt:lpstr>
      <vt:lpstr>milestone_remarks5</vt:lpstr>
      <vt:lpstr>milestone_remarks6</vt:lpstr>
      <vt:lpstr>milestone_remarks7</vt:lpstr>
      <vt:lpstr>milestone_remarks8</vt:lpstr>
      <vt:lpstr>milestone_remarks9</vt:lpstr>
      <vt:lpstr>milestone1</vt:lpstr>
      <vt:lpstr>milestone10</vt:lpstr>
      <vt:lpstr>milestone11</vt:lpstr>
      <vt:lpstr>milestone12</vt:lpstr>
      <vt:lpstr>milestone13</vt:lpstr>
      <vt:lpstr>milestone14</vt:lpstr>
      <vt:lpstr>milestone15</vt:lpstr>
      <vt:lpstr>milestone16</vt:lpstr>
      <vt:lpstr>milestone17</vt:lpstr>
      <vt:lpstr>milestone18</vt:lpstr>
      <vt:lpstr>milestone19</vt:lpstr>
      <vt:lpstr>milestone2</vt:lpstr>
      <vt:lpstr>milestone20</vt:lpstr>
      <vt:lpstr>milestone21</vt:lpstr>
      <vt:lpstr>milestone22</vt:lpstr>
      <vt:lpstr>milestone23</vt:lpstr>
      <vt:lpstr>milestone24</vt:lpstr>
      <vt:lpstr>milestone25</vt:lpstr>
      <vt:lpstr>milestone26</vt:lpstr>
      <vt:lpstr>milestone27</vt:lpstr>
      <vt:lpstr>milestone28</vt:lpstr>
      <vt:lpstr>milestone29</vt:lpstr>
      <vt:lpstr>milestone3</vt:lpstr>
      <vt:lpstr>milestone30</vt:lpstr>
      <vt:lpstr>milestone31</vt:lpstr>
      <vt:lpstr>milestone32</vt:lpstr>
      <vt:lpstr>milestone33</vt:lpstr>
      <vt:lpstr>milestone34</vt:lpstr>
      <vt:lpstr>milestone35</vt:lpstr>
      <vt:lpstr>milestone36</vt:lpstr>
      <vt:lpstr>milestone37</vt:lpstr>
      <vt:lpstr>milestone38</vt:lpstr>
      <vt:lpstr>milestone39</vt:lpstr>
      <vt:lpstr>milestone4</vt:lpstr>
      <vt:lpstr>milestone40</vt:lpstr>
      <vt:lpstr>milestone5</vt:lpstr>
      <vt:lpstr>milestone6</vt:lpstr>
      <vt:lpstr>milestone7</vt:lpstr>
      <vt:lpstr>milestone8</vt:lpstr>
      <vt:lpstr>milestone9</vt:lpstr>
      <vt:lpstr>months_elapsed_following_contract_conclusion</vt:lpstr>
      <vt:lpstr>negative_balance</vt:lpstr>
      <vt:lpstr>negative_balance_financial_mechanism_amount</vt:lpstr>
      <vt:lpstr>negative_balance_state_budget_amount</vt:lpstr>
      <vt:lpstr>net_final_payment_amount</vt:lpstr>
      <vt:lpstr>net_final_payment_cash_cofinancing_amount</vt:lpstr>
      <vt:lpstr>net_final_payment_financial_mechanism_amount</vt:lpstr>
      <vt:lpstr>net_final_payment_state_budget_amount</vt:lpstr>
      <vt:lpstr>net_grant_on_payments_settlement_percentage</vt:lpstr>
      <vt:lpstr>net_grant_paid_after_approval_applicant</vt:lpstr>
      <vt:lpstr>net_grant_paid_after_approval_partner1</vt:lpstr>
      <vt:lpstr>net_grant_paid_after_approval_partner2</vt:lpstr>
      <vt:lpstr>net_grant_paid_after_approval_partner3</vt:lpstr>
      <vt:lpstr>net_grant_paid_after_approval_partner4</vt:lpstr>
      <vt:lpstr>net_grant_paid_after_approval_total</vt:lpstr>
      <vt:lpstr>net_grant_settled_after_approval_applicant</vt:lpstr>
      <vt:lpstr>net_grant_settled_after_approval_partner1</vt:lpstr>
      <vt:lpstr>net_grant_settled_after_approval_partner2</vt:lpstr>
      <vt:lpstr>net_grant_settled_after_approval_partner3</vt:lpstr>
      <vt:lpstr>net_grant_settled_after_approval_partner4</vt:lpstr>
      <vt:lpstr>net_grant_settled_after_approval_total</vt:lpstr>
      <vt:lpstr>net_in_kind_acummulated_applicant</vt:lpstr>
      <vt:lpstr>net_in_kind_acummulated_partner1</vt:lpstr>
      <vt:lpstr>net_in_kind_acummulated_partner2</vt:lpstr>
      <vt:lpstr>net_in_kind_acummulated_partner3</vt:lpstr>
      <vt:lpstr>net_in_kind_acummulated_partner4</vt:lpstr>
      <vt:lpstr>net_in_kind_acummulated_total</vt:lpstr>
      <vt:lpstr>net_in_kind_share_on_co_financing_applicant</vt:lpstr>
      <vt:lpstr>net_in_kind_share_on_co_financing_partner1</vt:lpstr>
      <vt:lpstr>net_in_kind_share_on_co_financing_partner2</vt:lpstr>
      <vt:lpstr>net_in_kind_share_on_co_financing_partner3</vt:lpstr>
      <vt:lpstr>net_in_kind_share_on_co_financing_partner4</vt:lpstr>
      <vt:lpstr>net_in_kind_share_on_co_financing_total</vt:lpstr>
      <vt:lpstr>net_is_entitled_for_next_payment</vt:lpstr>
      <vt:lpstr>net_negative_balance</vt:lpstr>
      <vt:lpstr>net_negative_balance_financial_mechanism_amount</vt:lpstr>
      <vt:lpstr>net_negative_balance_state_budget_amount</vt:lpstr>
      <vt:lpstr>net_next_interim_payment_amount_applicant</vt:lpstr>
      <vt:lpstr>net_next_interim_payment_amount_partner1</vt:lpstr>
      <vt:lpstr>net_next_interim_payment_amount_partner2</vt:lpstr>
      <vt:lpstr>net_next_interim_payment_amount_partner3</vt:lpstr>
      <vt:lpstr>net_next_interim_payment_amount_partner4</vt:lpstr>
      <vt:lpstr>net_next_interim_payment_amount_rounded</vt:lpstr>
      <vt:lpstr>net_next_interim_payment_amount_total</vt:lpstr>
      <vt:lpstr>net_next_payment_cash_cofinancing_amount</vt:lpstr>
      <vt:lpstr>net_next_payment_financial_mechanism_amount</vt:lpstr>
      <vt:lpstr>net_next_payment_in_kind_contribution</vt:lpstr>
      <vt:lpstr>net_next_payment_state_budget_amount</vt:lpstr>
      <vt:lpstr>net_payments_applicant</vt:lpstr>
      <vt:lpstr>net_payments_partner1</vt:lpstr>
      <vt:lpstr>net_payments_partner2</vt:lpstr>
      <vt:lpstr>net_payments_partner3</vt:lpstr>
      <vt:lpstr>net_payments_partner4</vt:lpstr>
      <vt:lpstr>net_payments_total</vt:lpstr>
      <vt:lpstr>net_percentage_settled_after_approval_applicant</vt:lpstr>
      <vt:lpstr>net_percentage_settled_after_approval_partner1</vt:lpstr>
      <vt:lpstr>net_percentage_settled_after_approval_partner2</vt:lpstr>
      <vt:lpstr>net_percentage_settled_after_approval_partner3</vt:lpstr>
      <vt:lpstr>net_percentage_settled_after_approval_partner4</vt:lpstr>
      <vt:lpstr>net_percentage_settled_after_approval_total</vt:lpstr>
      <vt:lpstr>net_reimbursement_amount</vt:lpstr>
      <vt:lpstr>net_reimbursement_financial_mechanism_amount</vt:lpstr>
      <vt:lpstr>net_reimbursement_from_payment_applicant</vt:lpstr>
      <vt:lpstr>net_reimbursement_from_payment_partner1</vt:lpstr>
      <vt:lpstr>net_reimbursement_from_payment_partner2</vt:lpstr>
      <vt:lpstr>net_reimbursement_from_payment_partner3</vt:lpstr>
      <vt:lpstr>net_reimbursement_from_payment_partner4</vt:lpstr>
      <vt:lpstr>net_reimbursement_from_payment_total</vt:lpstr>
      <vt:lpstr>net_reimbursement_state_budget_amount</vt:lpstr>
      <vt:lpstr>net_settled_and_declared_expenses_on_grant_percentage</vt:lpstr>
      <vt:lpstr>net_settled_expenses_applicant</vt:lpstr>
      <vt:lpstr>net_settled_expenses_partner1</vt:lpstr>
      <vt:lpstr>net_settled_expenses_partner2</vt:lpstr>
      <vt:lpstr>net_settled_expenses_partner3</vt:lpstr>
      <vt:lpstr>net_settled_expenses_partner4</vt:lpstr>
      <vt:lpstr>net_settled_expenses_total</vt:lpstr>
      <vt:lpstr>net_total_amount_paid_if_approved</vt:lpstr>
      <vt:lpstr>net_total_share_of_payments_if_paid</vt:lpstr>
      <vt:lpstr>next_interim_payment_amount</vt:lpstr>
      <vt:lpstr>next_interim_payment_amount_applicant</vt:lpstr>
      <vt:lpstr>next_interim_payment_amount_partner1</vt:lpstr>
      <vt:lpstr>next_interim_payment_amount_partner2</vt:lpstr>
      <vt:lpstr>next_interim_payment_amount_partner3</vt:lpstr>
      <vt:lpstr>next_interim_payment_amount_partner4</vt:lpstr>
      <vt:lpstr>next_interim_payment_amount_rounded</vt:lpstr>
      <vt:lpstr>next_payment_amount</vt:lpstr>
      <vt:lpstr>next_payment_cash_cofinancing_amount</vt:lpstr>
      <vt:lpstr>next_payment_financial_mechanism_amount</vt:lpstr>
      <vt:lpstr>next_payment_in_kind_contribution</vt:lpstr>
      <vt:lpstr>next_payment_max_amount</vt:lpstr>
      <vt:lpstr>next_payment_max_percentage</vt:lpstr>
      <vt:lpstr>next_payment_payable_amount</vt:lpstr>
      <vt:lpstr>next_payment_retained_amount</vt:lpstr>
      <vt:lpstr>next_payment_state_budget_amount</vt:lpstr>
      <vt:lpstr>next_payment_title</vt:lpstr>
      <vt:lpstr>ninth_reimbursement_date</vt:lpstr>
      <vt:lpstr>ninth_reimbursement_partner1</vt:lpstr>
      <vt:lpstr>ninth_reimbursement_partner2</vt:lpstr>
      <vt:lpstr>ninth_reimbursement_partner3</vt:lpstr>
      <vt:lpstr>ninth_reimbursement_partner4</vt:lpstr>
      <vt:lpstr>ninth_reimbursement_promoter</vt:lpstr>
      <vt:lpstr>ninth_reimbursement_total</vt:lpstr>
      <vt:lpstr>ZUD!Oblasť_tlače</vt:lpstr>
      <vt:lpstr>other_project_funding_source1</vt:lpstr>
      <vt:lpstr>other_project_funding_source10</vt:lpstr>
      <vt:lpstr>other_project_funding_source2</vt:lpstr>
      <vt:lpstr>other_project_funding_source3</vt:lpstr>
      <vt:lpstr>other_project_funding_source4</vt:lpstr>
      <vt:lpstr>other_project_funding_source5</vt:lpstr>
      <vt:lpstr>other_project_funding_source6</vt:lpstr>
      <vt:lpstr>other_project_funding_source7</vt:lpstr>
      <vt:lpstr>other_project_funding_source8</vt:lpstr>
      <vt:lpstr>other_project_funding_source9</vt:lpstr>
      <vt:lpstr>other_project_implementation_dates_1</vt:lpstr>
      <vt:lpstr>other_project_implementation_dates_10</vt:lpstr>
      <vt:lpstr>other_project_implementation_dates_2</vt:lpstr>
      <vt:lpstr>other_project_implementation_dates_3</vt:lpstr>
      <vt:lpstr>other_project_implementation_dates_4</vt:lpstr>
      <vt:lpstr>other_project_implementation_dates_5</vt:lpstr>
      <vt:lpstr>other_project_implementation_dates_6</vt:lpstr>
      <vt:lpstr>other_project_implementation_dates_7</vt:lpstr>
      <vt:lpstr>other_project_implementation_dates_8</vt:lpstr>
      <vt:lpstr>other_project_implementation_dates_9</vt:lpstr>
      <vt:lpstr>other_project_linked_persons_goods_1</vt:lpstr>
      <vt:lpstr>other_project_linked_persons_goods_10</vt:lpstr>
      <vt:lpstr>other_project_linked_persons_goods_2</vt:lpstr>
      <vt:lpstr>other_project_linked_persons_goods_3</vt:lpstr>
      <vt:lpstr>other_project_linked_persons_goods_4</vt:lpstr>
      <vt:lpstr>other_project_linked_persons_goods_5</vt:lpstr>
      <vt:lpstr>other_project_linked_persons_goods_6</vt:lpstr>
      <vt:lpstr>other_project_linked_persons_goods_7</vt:lpstr>
      <vt:lpstr>other_project_linked_persons_goods_8</vt:lpstr>
      <vt:lpstr>other_project_linked_persons_goods_9</vt:lpstr>
      <vt:lpstr>other_project1</vt:lpstr>
      <vt:lpstr>other_project10</vt:lpstr>
      <vt:lpstr>other_project2</vt:lpstr>
      <vt:lpstr>other_project3</vt:lpstr>
      <vt:lpstr>other_project4</vt:lpstr>
      <vt:lpstr>other_project5</vt:lpstr>
      <vt:lpstr>other_project6</vt:lpstr>
      <vt:lpstr>other_project7</vt:lpstr>
      <vt:lpstr>other_project8</vt:lpstr>
      <vt:lpstr>other_project9</vt:lpstr>
      <vt:lpstr>partner1_costs_current_activity1</vt:lpstr>
      <vt:lpstr>partner1_costs_current_activity2</vt:lpstr>
      <vt:lpstr>partner1_costs_current_activity3</vt:lpstr>
      <vt:lpstr>partner1_costs_current_activity4</vt:lpstr>
      <vt:lpstr>partner1_costs_current_activity5</vt:lpstr>
      <vt:lpstr>partner1_costs_current_activity6</vt:lpstr>
      <vt:lpstr>partner1_costs_current_activity7</vt:lpstr>
      <vt:lpstr>partner1_costs_current_activity8</vt:lpstr>
      <vt:lpstr>partner1_costs_current_management</vt:lpstr>
      <vt:lpstr>partner1_costs_left_activity1</vt:lpstr>
      <vt:lpstr>partner1_costs_left_activity2</vt:lpstr>
      <vt:lpstr>partner1_costs_left_activity3</vt:lpstr>
      <vt:lpstr>partner1_costs_left_activity4</vt:lpstr>
      <vt:lpstr>partner1_costs_left_activity5</vt:lpstr>
      <vt:lpstr>partner1_costs_left_activity6</vt:lpstr>
      <vt:lpstr>partner1_costs_left_activity7</vt:lpstr>
      <vt:lpstr>partner1_costs_left_activity8</vt:lpstr>
      <vt:lpstr>partner1_costs_left_management</vt:lpstr>
      <vt:lpstr>partner1_costs_planned_activity1</vt:lpstr>
      <vt:lpstr>partner1_costs_planned_activity2</vt:lpstr>
      <vt:lpstr>partner1_costs_planned_activity3</vt:lpstr>
      <vt:lpstr>partner1_costs_planned_activity4</vt:lpstr>
      <vt:lpstr>partner1_costs_planned_activity5</vt:lpstr>
      <vt:lpstr>partner1_costs_planned_activity6</vt:lpstr>
      <vt:lpstr>partner1_costs_planned_activity7</vt:lpstr>
      <vt:lpstr>partner1_costs_planned_activity8</vt:lpstr>
      <vt:lpstr>partner1_costs_planned_management</vt:lpstr>
      <vt:lpstr>partner1_costs_real_activity1</vt:lpstr>
      <vt:lpstr>partner1_costs_real_activity2</vt:lpstr>
      <vt:lpstr>partner1_costs_real_activity3</vt:lpstr>
      <vt:lpstr>partner1_costs_real_activity4</vt:lpstr>
      <vt:lpstr>partner1_costs_real_activity5</vt:lpstr>
      <vt:lpstr>partner1_costs_real_activity6</vt:lpstr>
      <vt:lpstr>partner1_costs_real_activity7</vt:lpstr>
      <vt:lpstr>partner1_costs_real_activity8</vt:lpstr>
      <vt:lpstr>partner1_costs_real_management</vt:lpstr>
      <vt:lpstr>partner1_entitlement</vt:lpstr>
      <vt:lpstr>partner2_costs_current_activity1</vt:lpstr>
      <vt:lpstr>partner2_costs_current_activity2</vt:lpstr>
      <vt:lpstr>partner2_costs_current_activity3</vt:lpstr>
      <vt:lpstr>partner2_costs_current_activity4</vt:lpstr>
      <vt:lpstr>partner2_costs_current_activity5</vt:lpstr>
      <vt:lpstr>partner2_costs_current_activity6</vt:lpstr>
      <vt:lpstr>partner2_costs_current_activity7</vt:lpstr>
      <vt:lpstr>partner2_costs_current_activity8</vt:lpstr>
      <vt:lpstr>partner2_costs_current_management</vt:lpstr>
      <vt:lpstr>partner2_costs_left_activity1</vt:lpstr>
      <vt:lpstr>partner2_costs_left_activity2</vt:lpstr>
      <vt:lpstr>partner2_costs_left_activity3</vt:lpstr>
      <vt:lpstr>partner2_costs_left_activity4</vt:lpstr>
      <vt:lpstr>partner2_costs_left_activity5</vt:lpstr>
      <vt:lpstr>partner2_costs_left_activity6</vt:lpstr>
      <vt:lpstr>partner2_costs_left_activity7</vt:lpstr>
      <vt:lpstr>partner2_costs_left_activity8</vt:lpstr>
      <vt:lpstr>partner2_costs_left_management</vt:lpstr>
      <vt:lpstr>partner2_costs_planned_activity1</vt:lpstr>
      <vt:lpstr>partner2_costs_planned_activity2</vt:lpstr>
      <vt:lpstr>partner2_costs_planned_activity3</vt:lpstr>
      <vt:lpstr>partner2_costs_planned_activity4</vt:lpstr>
      <vt:lpstr>partner2_costs_planned_activity5</vt:lpstr>
      <vt:lpstr>partner2_costs_planned_activity6</vt:lpstr>
      <vt:lpstr>partner2_costs_planned_activity7</vt:lpstr>
      <vt:lpstr>partner2_costs_planned_activity8</vt:lpstr>
      <vt:lpstr>partner2_costs_planned_management</vt:lpstr>
      <vt:lpstr>partner2_costs_real_activity1</vt:lpstr>
      <vt:lpstr>partner2_costs_real_activity2</vt:lpstr>
      <vt:lpstr>partner2_costs_real_activity3</vt:lpstr>
      <vt:lpstr>partner2_costs_real_activity4</vt:lpstr>
      <vt:lpstr>partner2_costs_real_activity5</vt:lpstr>
      <vt:lpstr>partner2_costs_real_activity6</vt:lpstr>
      <vt:lpstr>partner2_costs_real_activity7</vt:lpstr>
      <vt:lpstr>partner2_costs_real_activity8</vt:lpstr>
      <vt:lpstr>partner2_costs_real_management</vt:lpstr>
      <vt:lpstr>partner2_entitlement</vt:lpstr>
      <vt:lpstr>partner3_costs_current_activity1</vt:lpstr>
      <vt:lpstr>partner3_costs_current_activity2</vt:lpstr>
      <vt:lpstr>partner3_costs_current_activity3</vt:lpstr>
      <vt:lpstr>partner3_costs_current_activity4</vt:lpstr>
      <vt:lpstr>partner3_costs_current_activity5</vt:lpstr>
      <vt:lpstr>partner3_costs_current_activity6</vt:lpstr>
      <vt:lpstr>partner3_costs_current_activity7</vt:lpstr>
      <vt:lpstr>partner3_costs_current_activity8</vt:lpstr>
      <vt:lpstr>partner3_costs_current_management</vt:lpstr>
      <vt:lpstr>partner3_costs_left_activity1</vt:lpstr>
      <vt:lpstr>partner3_costs_left_activity2</vt:lpstr>
      <vt:lpstr>partner3_costs_left_activity3</vt:lpstr>
      <vt:lpstr>partner3_costs_left_activity4</vt:lpstr>
      <vt:lpstr>partner3_costs_left_activity5</vt:lpstr>
      <vt:lpstr>partner3_costs_left_activity6</vt:lpstr>
      <vt:lpstr>partner3_costs_left_activity7</vt:lpstr>
      <vt:lpstr>partner3_costs_left_activity8</vt:lpstr>
      <vt:lpstr>partner3_costs_left_management</vt:lpstr>
      <vt:lpstr>partner3_costs_planned_activity1</vt:lpstr>
      <vt:lpstr>partner3_costs_planned_activity2</vt:lpstr>
      <vt:lpstr>partner3_costs_planned_activity3</vt:lpstr>
      <vt:lpstr>partner3_costs_planned_activity4</vt:lpstr>
      <vt:lpstr>partner3_costs_planned_activity5</vt:lpstr>
      <vt:lpstr>partner3_costs_planned_activity6</vt:lpstr>
      <vt:lpstr>partner3_costs_planned_activity7</vt:lpstr>
      <vt:lpstr>partner3_costs_planned_activity8</vt:lpstr>
      <vt:lpstr>partner3_costs_planned_management</vt:lpstr>
      <vt:lpstr>partner3_costs_real_activity1</vt:lpstr>
      <vt:lpstr>partner3_costs_real_activity2</vt:lpstr>
      <vt:lpstr>partner3_costs_real_activity3</vt:lpstr>
      <vt:lpstr>partner3_costs_real_activity4</vt:lpstr>
      <vt:lpstr>partner3_costs_real_activity5</vt:lpstr>
      <vt:lpstr>partner3_costs_real_activity6</vt:lpstr>
      <vt:lpstr>partner3_costs_real_activity7</vt:lpstr>
      <vt:lpstr>partner3_costs_real_activity8</vt:lpstr>
      <vt:lpstr>partner3_costs_real_management</vt:lpstr>
      <vt:lpstr>partner3_entitlement</vt:lpstr>
      <vt:lpstr>partner4_costs_current_activity1</vt:lpstr>
      <vt:lpstr>partner4_costs_current_activity2</vt:lpstr>
      <vt:lpstr>partner4_costs_current_activity3</vt:lpstr>
      <vt:lpstr>partner4_costs_current_activity4</vt:lpstr>
      <vt:lpstr>partner4_costs_current_activity5</vt:lpstr>
      <vt:lpstr>partner4_costs_current_activity6</vt:lpstr>
      <vt:lpstr>partner4_costs_current_activity7</vt:lpstr>
      <vt:lpstr>partner4_costs_current_activity8</vt:lpstr>
      <vt:lpstr>partner4_costs_current_management</vt:lpstr>
      <vt:lpstr>partner4_costs_left_activity1</vt:lpstr>
      <vt:lpstr>partner4_costs_left_activity2</vt:lpstr>
      <vt:lpstr>partner4_costs_left_activity3</vt:lpstr>
      <vt:lpstr>partner4_costs_left_activity4</vt:lpstr>
      <vt:lpstr>partner4_costs_left_activity5</vt:lpstr>
      <vt:lpstr>partner4_costs_left_activity6</vt:lpstr>
      <vt:lpstr>partner4_costs_left_activity7</vt:lpstr>
      <vt:lpstr>partner4_costs_left_activity8</vt:lpstr>
      <vt:lpstr>partner4_costs_left_management</vt:lpstr>
      <vt:lpstr>partner4_costs_planned_activity1</vt:lpstr>
      <vt:lpstr>partner4_costs_planned_activity2</vt:lpstr>
      <vt:lpstr>partner4_costs_planned_activity3</vt:lpstr>
      <vt:lpstr>partner4_costs_planned_activity4</vt:lpstr>
      <vt:lpstr>partner4_costs_planned_activity5</vt:lpstr>
      <vt:lpstr>partner4_costs_planned_activity6</vt:lpstr>
      <vt:lpstr>partner4_costs_planned_activity7</vt:lpstr>
      <vt:lpstr>partner4_costs_planned_activity8</vt:lpstr>
      <vt:lpstr>partner4_costs_planned_management</vt:lpstr>
      <vt:lpstr>partner4_costs_real_activity1</vt:lpstr>
      <vt:lpstr>partner4_costs_real_activity2</vt:lpstr>
      <vt:lpstr>partner4_costs_real_activity3</vt:lpstr>
      <vt:lpstr>partner4_costs_real_activity4</vt:lpstr>
      <vt:lpstr>partner4_costs_real_activity5</vt:lpstr>
      <vt:lpstr>partner4_costs_real_activity6</vt:lpstr>
      <vt:lpstr>partner4_costs_real_activity7</vt:lpstr>
      <vt:lpstr>partner4_costs_real_activity8</vt:lpstr>
      <vt:lpstr>partner4_costs_real_management</vt:lpstr>
      <vt:lpstr>partner4_entitlement</vt:lpstr>
      <vt:lpstr>payments_applicant</vt:lpstr>
      <vt:lpstr>payments_on_grants_percentage</vt:lpstr>
      <vt:lpstr>payments_partner1</vt:lpstr>
      <vt:lpstr>payments_partner2</vt:lpstr>
      <vt:lpstr>payments_partner3</vt:lpstr>
      <vt:lpstr>payments_partner4</vt:lpstr>
      <vt:lpstr>payments_percentage_table</vt:lpstr>
      <vt:lpstr>payments_titles_row</vt:lpstr>
      <vt:lpstr>payments_total</vt:lpstr>
      <vt:lpstr>percentage_settled_after_approval_applicant</vt:lpstr>
      <vt:lpstr>percentage_settled_after_approval_partner1</vt:lpstr>
      <vt:lpstr>percentage_settled_after_approval_partner2</vt:lpstr>
      <vt:lpstr>percentage_settled_after_approval_partner3</vt:lpstr>
      <vt:lpstr>percentage_settled_after_approval_partner4</vt:lpstr>
      <vt:lpstr>percentage_settled_after_approval_total</vt:lpstr>
      <vt:lpstr>programme_abbreviation</vt:lpstr>
      <vt:lpstr>programme_outcome</vt:lpstr>
      <vt:lpstr>programme_title</vt:lpstr>
      <vt:lpstr>project_code</vt:lpstr>
      <vt:lpstr>project_decision_issued_on</vt:lpstr>
      <vt:lpstr>project_grant_costs_claimed_applicant</vt:lpstr>
      <vt:lpstr>project_grant_costs_claimed_eligible_applicant</vt:lpstr>
      <vt:lpstr>project_grant_costs_claimed_eligible_partner1</vt:lpstr>
      <vt:lpstr>project_grant_costs_claimed_eligible_partner2</vt:lpstr>
      <vt:lpstr>project_grant_costs_claimed_eligible_partner3</vt:lpstr>
      <vt:lpstr>project_grant_costs_claimed_eligible_partner4</vt:lpstr>
      <vt:lpstr>project_grant_costs_claimed_eligible_total</vt:lpstr>
      <vt:lpstr>project_grant_costs_claimed_partner1</vt:lpstr>
      <vt:lpstr>project_grant_costs_claimed_partner2</vt:lpstr>
      <vt:lpstr>project_grant_costs_claimed_partner3</vt:lpstr>
      <vt:lpstr>project_grant_costs_claimed_partner4</vt:lpstr>
      <vt:lpstr>project_grant_costs_claimed_total</vt:lpstr>
      <vt:lpstr>project_grant_rate</vt:lpstr>
      <vt:lpstr>project_grant_settled_applicant</vt:lpstr>
      <vt:lpstr>project_grant_settled_partner1</vt:lpstr>
      <vt:lpstr>project_grant_settled_partner2</vt:lpstr>
      <vt:lpstr>project_grant_settled_partner3</vt:lpstr>
      <vt:lpstr>project_grant_settled_partner4</vt:lpstr>
      <vt:lpstr>project_grant_settled_total</vt:lpstr>
      <vt:lpstr>project_implementation_completion_date</vt:lpstr>
      <vt:lpstr>project_implementation_start_date</vt:lpstr>
      <vt:lpstr>project_specific_indicator_baseline1</vt:lpstr>
      <vt:lpstr>project_specific_indicator_baseline2</vt:lpstr>
      <vt:lpstr>project_specific_indicator_baseline3</vt:lpstr>
      <vt:lpstr>project_specific_indicator_baseline4</vt:lpstr>
      <vt:lpstr>project_specific_indicator_baseline5</vt:lpstr>
      <vt:lpstr>project_specific_indicator_baseline6</vt:lpstr>
      <vt:lpstr>project_specific_indicator_baseline7</vt:lpstr>
      <vt:lpstr>project_specific_indicator_code1</vt:lpstr>
      <vt:lpstr>project_specific_indicator_code2</vt:lpstr>
      <vt:lpstr>project_specific_indicator_code3</vt:lpstr>
      <vt:lpstr>project_specific_indicator_code4</vt:lpstr>
      <vt:lpstr>project_specific_indicator_code5</vt:lpstr>
      <vt:lpstr>project_specific_indicator_code6</vt:lpstr>
      <vt:lpstr>project_specific_indicator_code7</vt:lpstr>
      <vt:lpstr>project_specific_indicator_current_value1</vt:lpstr>
      <vt:lpstr>project_specific_indicator_current_value2</vt:lpstr>
      <vt:lpstr>project_specific_indicator_current_value3</vt:lpstr>
      <vt:lpstr>project_specific_indicator_current_value4</vt:lpstr>
      <vt:lpstr>project_specific_indicator_current_value5</vt:lpstr>
      <vt:lpstr>project_specific_indicator_current_value6</vt:lpstr>
      <vt:lpstr>project_specific_indicator_current_value7</vt:lpstr>
      <vt:lpstr>project_specific_indicator_level1</vt:lpstr>
      <vt:lpstr>project_specific_indicator_level2</vt:lpstr>
      <vt:lpstr>project_specific_indicator_level3</vt:lpstr>
      <vt:lpstr>project_specific_indicator_level4</vt:lpstr>
      <vt:lpstr>project_specific_indicator_level5</vt:lpstr>
      <vt:lpstr>project_specific_indicator_level6</vt:lpstr>
      <vt:lpstr>project_specific_indicator_level7</vt:lpstr>
      <vt:lpstr>project_specific_indicator_measurement1</vt:lpstr>
      <vt:lpstr>project_specific_indicator_measurement2</vt:lpstr>
      <vt:lpstr>project_specific_indicator_measurement3</vt:lpstr>
      <vt:lpstr>project_specific_indicator_measurement4</vt:lpstr>
      <vt:lpstr>project_specific_indicator_measurement5</vt:lpstr>
      <vt:lpstr>project_specific_indicator_measurement6</vt:lpstr>
      <vt:lpstr>project_specific_indicator_measurement7</vt:lpstr>
      <vt:lpstr>project_specific_indicator_target1</vt:lpstr>
      <vt:lpstr>project_specific_indicator_target2</vt:lpstr>
      <vt:lpstr>project_specific_indicator_target3</vt:lpstr>
      <vt:lpstr>project_specific_indicator_target4</vt:lpstr>
      <vt:lpstr>project_specific_indicator_target5</vt:lpstr>
      <vt:lpstr>project_specific_indicator_target6</vt:lpstr>
      <vt:lpstr>project_specific_indicator_target7</vt:lpstr>
      <vt:lpstr>project_specific_indicator_type1</vt:lpstr>
      <vt:lpstr>project_specific_indicator_type2</vt:lpstr>
      <vt:lpstr>project_specific_indicator_type3</vt:lpstr>
      <vt:lpstr>project_specific_indicator_type4</vt:lpstr>
      <vt:lpstr>project_specific_indicator_type5</vt:lpstr>
      <vt:lpstr>project_specific_indicator_type6</vt:lpstr>
      <vt:lpstr>project_specific_indicator_type7</vt:lpstr>
      <vt:lpstr>project_specific_indicator1</vt:lpstr>
      <vt:lpstr>project_specific_indicator1_disag_type1</vt:lpstr>
      <vt:lpstr>project_specific_indicator1_disag_type10</vt:lpstr>
      <vt:lpstr>project_specific_indicator1_disag_type11</vt:lpstr>
      <vt:lpstr>project_specific_indicator1_disag_type12</vt:lpstr>
      <vt:lpstr>project_specific_indicator1_disag_type2</vt:lpstr>
      <vt:lpstr>project_specific_indicator1_disag_type3</vt:lpstr>
      <vt:lpstr>project_specific_indicator1_disag_type4</vt:lpstr>
      <vt:lpstr>project_specific_indicator1_disag_type5</vt:lpstr>
      <vt:lpstr>project_specific_indicator1_disag_type6</vt:lpstr>
      <vt:lpstr>project_specific_indicator1_disag_type7</vt:lpstr>
      <vt:lpstr>project_specific_indicator1_disag_type8</vt:lpstr>
      <vt:lpstr>project_specific_indicator1_disag_type9</vt:lpstr>
      <vt:lpstr>project_specific_indicator1_disag_value1</vt:lpstr>
      <vt:lpstr>project_specific_indicator1_disag_value10</vt:lpstr>
      <vt:lpstr>project_specific_indicator1_disag_value11</vt:lpstr>
      <vt:lpstr>project_specific_indicator1_disag_value12</vt:lpstr>
      <vt:lpstr>project_specific_indicator1_disag_value2</vt:lpstr>
      <vt:lpstr>project_specific_indicator1_disag_value3</vt:lpstr>
      <vt:lpstr>project_specific_indicator1_disag_value4</vt:lpstr>
      <vt:lpstr>project_specific_indicator1_disag_value5</vt:lpstr>
      <vt:lpstr>project_specific_indicator1_disag_value6</vt:lpstr>
      <vt:lpstr>project_specific_indicator1_disag_value7</vt:lpstr>
      <vt:lpstr>project_specific_indicator1_disag_value8</vt:lpstr>
      <vt:lpstr>project_specific_indicator1_disag_value9</vt:lpstr>
      <vt:lpstr>project_specific_indicator2</vt:lpstr>
      <vt:lpstr>project_specific_indicator2_disag_type1</vt:lpstr>
      <vt:lpstr>project_specific_indicator2_disag_type10</vt:lpstr>
      <vt:lpstr>project_specific_indicator2_disag_type11</vt:lpstr>
      <vt:lpstr>project_specific_indicator2_disag_type12</vt:lpstr>
      <vt:lpstr>project_specific_indicator2_disag_type2</vt:lpstr>
      <vt:lpstr>project_specific_indicator2_disag_type3</vt:lpstr>
      <vt:lpstr>project_specific_indicator2_disag_type4</vt:lpstr>
      <vt:lpstr>project_specific_indicator2_disag_type5</vt:lpstr>
      <vt:lpstr>project_specific_indicator2_disag_type6</vt:lpstr>
      <vt:lpstr>project_specific_indicator2_disag_type7</vt:lpstr>
      <vt:lpstr>project_specific_indicator2_disag_type8</vt:lpstr>
      <vt:lpstr>project_specific_indicator2_disag_type9</vt:lpstr>
      <vt:lpstr>project_specific_indicator2_disag_value1</vt:lpstr>
      <vt:lpstr>project_specific_indicator2_disag_value10</vt:lpstr>
      <vt:lpstr>project_specific_indicator2_disag_value11</vt:lpstr>
      <vt:lpstr>project_specific_indicator2_disag_value12</vt:lpstr>
      <vt:lpstr>project_specific_indicator2_disag_value2</vt:lpstr>
      <vt:lpstr>project_specific_indicator2_disag_value3</vt:lpstr>
      <vt:lpstr>project_specific_indicator2_disag_value4</vt:lpstr>
      <vt:lpstr>project_specific_indicator2_disag_value5</vt:lpstr>
      <vt:lpstr>project_specific_indicator2_disag_value6</vt:lpstr>
      <vt:lpstr>project_specific_indicator2_disag_value7</vt:lpstr>
      <vt:lpstr>project_specific_indicator2_disag_value8</vt:lpstr>
      <vt:lpstr>project_specific_indicator2_disag_value9</vt:lpstr>
      <vt:lpstr>project_specific_indicator3</vt:lpstr>
      <vt:lpstr>project_specific_indicator3_disag_type1</vt:lpstr>
      <vt:lpstr>project_specific_indicator3_disag_type10</vt:lpstr>
      <vt:lpstr>project_specific_indicator3_disag_type11</vt:lpstr>
      <vt:lpstr>project_specific_indicator3_disag_type12</vt:lpstr>
      <vt:lpstr>project_specific_indicator3_disag_type2</vt:lpstr>
      <vt:lpstr>project_specific_indicator3_disag_type3</vt:lpstr>
      <vt:lpstr>project_specific_indicator3_disag_type4</vt:lpstr>
      <vt:lpstr>project_specific_indicator3_disag_type5</vt:lpstr>
      <vt:lpstr>project_specific_indicator3_disag_type6</vt:lpstr>
      <vt:lpstr>project_specific_indicator3_disag_type7</vt:lpstr>
      <vt:lpstr>project_specific_indicator3_disag_type8</vt:lpstr>
      <vt:lpstr>project_specific_indicator3_disag_type9</vt:lpstr>
      <vt:lpstr>project_specific_indicator3_disag_value1</vt:lpstr>
      <vt:lpstr>project_specific_indicator3_disag_value10</vt:lpstr>
      <vt:lpstr>project_specific_indicator3_disag_value11</vt:lpstr>
      <vt:lpstr>project_specific_indicator3_disag_value12</vt:lpstr>
      <vt:lpstr>project_specific_indicator3_disag_value2</vt:lpstr>
      <vt:lpstr>project_specific_indicator3_disag_value3</vt:lpstr>
      <vt:lpstr>project_specific_indicator3_disag_value4</vt:lpstr>
      <vt:lpstr>project_specific_indicator3_disag_value5</vt:lpstr>
      <vt:lpstr>project_specific_indicator3_disag_value6</vt:lpstr>
      <vt:lpstr>project_specific_indicator3_disag_value7</vt:lpstr>
      <vt:lpstr>project_specific_indicator3_disag_value8</vt:lpstr>
      <vt:lpstr>project_specific_indicator3_disag_value9</vt:lpstr>
      <vt:lpstr>project_specific_indicator4</vt:lpstr>
      <vt:lpstr>project_specific_indicator4_disag_type1</vt:lpstr>
      <vt:lpstr>project_specific_indicator4_disag_type10</vt:lpstr>
      <vt:lpstr>project_specific_indicator4_disag_type11</vt:lpstr>
      <vt:lpstr>project_specific_indicator4_disag_type12</vt:lpstr>
      <vt:lpstr>project_specific_indicator4_disag_type2</vt:lpstr>
      <vt:lpstr>project_specific_indicator4_disag_type3</vt:lpstr>
      <vt:lpstr>project_specific_indicator4_disag_type4</vt:lpstr>
      <vt:lpstr>project_specific_indicator4_disag_type5</vt:lpstr>
      <vt:lpstr>project_specific_indicator4_disag_type6</vt:lpstr>
      <vt:lpstr>project_specific_indicator4_disag_type7</vt:lpstr>
      <vt:lpstr>project_specific_indicator4_disag_type8</vt:lpstr>
      <vt:lpstr>project_specific_indicator4_disag_type9</vt:lpstr>
      <vt:lpstr>project_specific_indicator4_disag_value1</vt:lpstr>
      <vt:lpstr>project_specific_indicator4_disag_value10</vt:lpstr>
      <vt:lpstr>project_specific_indicator4_disag_value11</vt:lpstr>
      <vt:lpstr>project_specific_indicator4_disag_value12</vt:lpstr>
      <vt:lpstr>project_specific_indicator4_disag_value2</vt:lpstr>
      <vt:lpstr>project_specific_indicator4_disag_value3</vt:lpstr>
      <vt:lpstr>project_specific_indicator4_disag_value4</vt:lpstr>
      <vt:lpstr>project_specific_indicator4_disag_value5</vt:lpstr>
      <vt:lpstr>project_specific_indicator4_disag_value6</vt:lpstr>
      <vt:lpstr>project_specific_indicator4_disag_value7</vt:lpstr>
      <vt:lpstr>project_specific_indicator4_disag_value8</vt:lpstr>
      <vt:lpstr>project_specific_indicator4_disag_value9</vt:lpstr>
      <vt:lpstr>project_specific_indicator5</vt:lpstr>
      <vt:lpstr>project_specific_indicator5_disag_type1</vt:lpstr>
      <vt:lpstr>project_specific_indicator5_disag_type10</vt:lpstr>
      <vt:lpstr>project_specific_indicator5_disag_type11</vt:lpstr>
      <vt:lpstr>project_specific_indicator5_disag_type12</vt:lpstr>
      <vt:lpstr>project_specific_indicator5_disag_type2</vt:lpstr>
      <vt:lpstr>project_specific_indicator5_disag_type3</vt:lpstr>
      <vt:lpstr>project_specific_indicator5_disag_type4</vt:lpstr>
      <vt:lpstr>project_specific_indicator5_disag_type5</vt:lpstr>
      <vt:lpstr>project_specific_indicator5_disag_type6</vt:lpstr>
      <vt:lpstr>project_specific_indicator5_disag_type7</vt:lpstr>
      <vt:lpstr>project_specific_indicator5_disag_type8</vt:lpstr>
      <vt:lpstr>project_specific_indicator5_disag_type9</vt:lpstr>
      <vt:lpstr>project_specific_indicator5_disag_value1</vt:lpstr>
      <vt:lpstr>project_specific_indicator5_disag_value10</vt:lpstr>
      <vt:lpstr>project_specific_indicator5_disag_value11</vt:lpstr>
      <vt:lpstr>project_specific_indicator5_disag_value12</vt:lpstr>
      <vt:lpstr>project_specific_indicator5_disag_value2</vt:lpstr>
      <vt:lpstr>project_specific_indicator5_disag_value3</vt:lpstr>
      <vt:lpstr>project_specific_indicator5_disag_value4</vt:lpstr>
      <vt:lpstr>project_specific_indicator5_disag_value5</vt:lpstr>
      <vt:lpstr>project_specific_indicator5_disag_value6</vt:lpstr>
      <vt:lpstr>project_specific_indicator5_disag_value7</vt:lpstr>
      <vt:lpstr>project_specific_indicator5_disag_value8</vt:lpstr>
      <vt:lpstr>project_specific_indicator5_disag_value9</vt:lpstr>
      <vt:lpstr>project_specific_indicator6</vt:lpstr>
      <vt:lpstr>project_specific_indicator6_disag_type1</vt:lpstr>
      <vt:lpstr>project_specific_indicator6_disag_type10</vt:lpstr>
      <vt:lpstr>project_specific_indicator6_disag_type11</vt:lpstr>
      <vt:lpstr>project_specific_indicator6_disag_type12</vt:lpstr>
      <vt:lpstr>project_specific_indicator6_disag_type2</vt:lpstr>
      <vt:lpstr>project_specific_indicator6_disag_type3</vt:lpstr>
      <vt:lpstr>project_specific_indicator6_disag_type4</vt:lpstr>
      <vt:lpstr>project_specific_indicator6_disag_type5</vt:lpstr>
      <vt:lpstr>project_specific_indicator6_disag_type6</vt:lpstr>
      <vt:lpstr>project_specific_indicator6_disag_type7</vt:lpstr>
      <vt:lpstr>project_specific_indicator6_disag_type8</vt:lpstr>
      <vt:lpstr>project_specific_indicator6_disag_type9</vt:lpstr>
      <vt:lpstr>project_specific_indicator6_disag_value1</vt:lpstr>
      <vt:lpstr>project_specific_indicator6_disag_value10</vt:lpstr>
      <vt:lpstr>project_specific_indicator6_disag_value11</vt:lpstr>
      <vt:lpstr>project_specific_indicator6_disag_value12</vt:lpstr>
      <vt:lpstr>project_specific_indicator6_disag_value2</vt:lpstr>
      <vt:lpstr>project_specific_indicator6_disag_value3</vt:lpstr>
      <vt:lpstr>project_specific_indicator6_disag_value4</vt:lpstr>
      <vt:lpstr>project_specific_indicator6_disag_value5</vt:lpstr>
      <vt:lpstr>project_specific_indicator6_disag_value6</vt:lpstr>
      <vt:lpstr>project_specific_indicator6_disag_value7</vt:lpstr>
      <vt:lpstr>project_specific_indicator6_disag_value8</vt:lpstr>
      <vt:lpstr>project_specific_indicator6_disag_value9</vt:lpstr>
      <vt:lpstr>project_specific_indicator7</vt:lpstr>
      <vt:lpstr>project_specific_indicator7_disag_type1</vt:lpstr>
      <vt:lpstr>project_specific_indicator7_disag_type10</vt:lpstr>
      <vt:lpstr>project_specific_indicator7_disag_type11</vt:lpstr>
      <vt:lpstr>project_specific_indicator7_disag_type12</vt:lpstr>
      <vt:lpstr>project_specific_indicator7_disag_type2</vt:lpstr>
      <vt:lpstr>project_specific_indicator7_disag_type3</vt:lpstr>
      <vt:lpstr>project_specific_indicator7_disag_type4</vt:lpstr>
      <vt:lpstr>project_specific_indicator7_disag_type5</vt:lpstr>
      <vt:lpstr>project_specific_indicator7_disag_type6</vt:lpstr>
      <vt:lpstr>project_specific_indicator7_disag_type7</vt:lpstr>
      <vt:lpstr>project_specific_indicator7_disag_type8</vt:lpstr>
      <vt:lpstr>project_specific_indicator7_disag_type9</vt:lpstr>
      <vt:lpstr>project_specific_indicator7_disag_value1</vt:lpstr>
      <vt:lpstr>project_specific_indicator7_disag_value10</vt:lpstr>
      <vt:lpstr>project_specific_indicator7_disag_value11</vt:lpstr>
      <vt:lpstr>project_specific_indicator7_disag_value12</vt:lpstr>
      <vt:lpstr>project_specific_indicator7_disag_value2</vt:lpstr>
      <vt:lpstr>project_specific_indicator7_disag_value3</vt:lpstr>
      <vt:lpstr>project_specific_indicator7_disag_value4</vt:lpstr>
      <vt:lpstr>project_specific_indicator7_disag_value5</vt:lpstr>
      <vt:lpstr>project_specific_indicator7_disag_value6</vt:lpstr>
      <vt:lpstr>project_specific_indicator7_disag_value7</vt:lpstr>
      <vt:lpstr>project_specific_indicator7_disag_value8</vt:lpstr>
      <vt:lpstr>project_specific_indicator7_disag_value9</vt:lpstr>
      <vt:lpstr>project_title</vt:lpstr>
      <vt:lpstr>promoter_costs_current_activity1</vt:lpstr>
      <vt:lpstr>promoter_costs_current_activity2</vt:lpstr>
      <vt:lpstr>promoter_costs_current_activity3</vt:lpstr>
      <vt:lpstr>promoter_costs_current_activity4</vt:lpstr>
      <vt:lpstr>promoter_costs_current_activity5</vt:lpstr>
      <vt:lpstr>promoter_costs_current_activity6</vt:lpstr>
      <vt:lpstr>promoter_costs_current_activity7</vt:lpstr>
      <vt:lpstr>promoter_costs_current_activity8</vt:lpstr>
      <vt:lpstr>promoter_costs_current_management</vt:lpstr>
      <vt:lpstr>promoter_costs_left_activity1</vt:lpstr>
      <vt:lpstr>promoter_costs_left_activity2</vt:lpstr>
      <vt:lpstr>promoter_costs_left_activity3</vt:lpstr>
      <vt:lpstr>promoter_costs_left_activity4</vt:lpstr>
      <vt:lpstr>promoter_costs_left_activity5</vt:lpstr>
      <vt:lpstr>promoter_costs_left_activity6</vt:lpstr>
      <vt:lpstr>promoter_costs_left_activity7</vt:lpstr>
      <vt:lpstr>promoter_costs_left_activity8</vt:lpstr>
      <vt:lpstr>promoter_costs_left_management</vt:lpstr>
      <vt:lpstr>promoter_costs_planned_activity1</vt:lpstr>
      <vt:lpstr>promoter_costs_planned_activity2</vt:lpstr>
      <vt:lpstr>promoter_costs_planned_activity3</vt:lpstr>
      <vt:lpstr>promoter_costs_planned_activity4</vt:lpstr>
      <vt:lpstr>promoter_costs_planned_activity5</vt:lpstr>
      <vt:lpstr>promoter_costs_planned_activity6</vt:lpstr>
      <vt:lpstr>promoter_costs_planned_activity7</vt:lpstr>
      <vt:lpstr>promoter_costs_planned_activity8</vt:lpstr>
      <vt:lpstr>promoter_costs_planned_management</vt:lpstr>
      <vt:lpstr>promoter_costs_real_activity1</vt:lpstr>
      <vt:lpstr>promoter_costs_real_activity2</vt:lpstr>
      <vt:lpstr>promoter_costs_real_activity3</vt:lpstr>
      <vt:lpstr>promoter_costs_real_activity4</vt:lpstr>
      <vt:lpstr>promoter_costs_real_activity5</vt:lpstr>
      <vt:lpstr>promoter_costs_real_activity6</vt:lpstr>
      <vt:lpstr>promoter_costs_real_activity7</vt:lpstr>
      <vt:lpstr>promoter_costs_real_activity8</vt:lpstr>
      <vt:lpstr>promoter_costs_real_management</vt:lpstr>
      <vt:lpstr>promoter_entitlement</vt:lpstr>
      <vt:lpstr>publicity_indicator_baseline1</vt:lpstr>
      <vt:lpstr>publicity_indicator_baseline2</vt:lpstr>
      <vt:lpstr>publicity_indicator_baseline3</vt:lpstr>
      <vt:lpstr>publicity_indicator_baseline4</vt:lpstr>
      <vt:lpstr>publicity_indicator_baseline5</vt:lpstr>
      <vt:lpstr>publicity_indicator_baseline6</vt:lpstr>
      <vt:lpstr>publicity_indicator_baseline7</vt:lpstr>
      <vt:lpstr>publicity_indicator_code1</vt:lpstr>
      <vt:lpstr>publicity_indicator_code2</vt:lpstr>
      <vt:lpstr>publicity_indicator_code3</vt:lpstr>
      <vt:lpstr>publicity_indicator_code4</vt:lpstr>
      <vt:lpstr>publicity_indicator_code5</vt:lpstr>
      <vt:lpstr>publicity_indicator_code6</vt:lpstr>
      <vt:lpstr>publicity_indicator_code7</vt:lpstr>
      <vt:lpstr>publicity_indicator_code8</vt:lpstr>
      <vt:lpstr>publicity_indicator_current_value1</vt:lpstr>
      <vt:lpstr>publicity_indicator_current_value2</vt:lpstr>
      <vt:lpstr>publicity_indicator_current_value3</vt:lpstr>
      <vt:lpstr>publicity_indicator_current_value4</vt:lpstr>
      <vt:lpstr>publicity_indicator_current_value5</vt:lpstr>
      <vt:lpstr>publicity_indicator_current_value6</vt:lpstr>
      <vt:lpstr>publicity_indicator_current_value7</vt:lpstr>
      <vt:lpstr>publicity_indicator_measurement1</vt:lpstr>
      <vt:lpstr>publicity_indicator_measurement2</vt:lpstr>
      <vt:lpstr>publicity_indicator_measurement3</vt:lpstr>
      <vt:lpstr>publicity_indicator_measurement4</vt:lpstr>
      <vt:lpstr>publicity_indicator_measurement5</vt:lpstr>
      <vt:lpstr>publicity_indicator_measurement6</vt:lpstr>
      <vt:lpstr>publicity_indicator_measurement7</vt:lpstr>
      <vt:lpstr>publicity_indicator_target1</vt:lpstr>
      <vt:lpstr>publicity_indicator_target2</vt:lpstr>
      <vt:lpstr>publicity_indicator_target3</vt:lpstr>
      <vt:lpstr>publicity_indicator_target4</vt:lpstr>
      <vt:lpstr>publicity_indicator_target5</vt:lpstr>
      <vt:lpstr>publicity_indicator_target6</vt:lpstr>
      <vt:lpstr>publicity_indicator_target7</vt:lpstr>
      <vt:lpstr>publicity_indicator1</vt:lpstr>
      <vt:lpstr>publicity_indicator2</vt:lpstr>
      <vt:lpstr>publicity_indicator3</vt:lpstr>
      <vt:lpstr>publicity_indicator4</vt:lpstr>
      <vt:lpstr>publicity_indicator5</vt:lpstr>
      <vt:lpstr>publicity_indicator6</vt:lpstr>
      <vt:lpstr>publicity_indicator7</vt:lpstr>
      <vt:lpstr>quantities_column</vt:lpstr>
      <vt:lpstr>reimbursement_amount</vt:lpstr>
      <vt:lpstr>reimbursement_financial_mechanism_amount</vt:lpstr>
      <vt:lpstr>reimbursement_from_payment_applicant</vt:lpstr>
      <vt:lpstr>reimbursement_from_payment_partner1</vt:lpstr>
      <vt:lpstr>reimbursement_from_payment_partner2</vt:lpstr>
      <vt:lpstr>reimbursement_from_payment_partner3</vt:lpstr>
      <vt:lpstr>reimbursement_from_payment_partner4</vt:lpstr>
      <vt:lpstr>reimbursement_from_payment_total</vt:lpstr>
      <vt:lpstr>reimbursement_state_budget_amount</vt:lpstr>
      <vt:lpstr>reimbursements_partner1</vt:lpstr>
      <vt:lpstr>reimbursements_partner2</vt:lpstr>
      <vt:lpstr>reimbursements_partner3</vt:lpstr>
      <vt:lpstr>reimbursements_partner4</vt:lpstr>
      <vt:lpstr>reimbursements_total</vt:lpstr>
      <vt:lpstr>report_number</vt:lpstr>
      <vt:lpstr>report_version</vt:lpstr>
      <vt:lpstr>reporting_period_ends</vt:lpstr>
      <vt:lpstr>reporting_period_starts</vt:lpstr>
      <vt:lpstr>reserve_applicant</vt:lpstr>
      <vt:lpstr>reserve_claimed_applicant</vt:lpstr>
      <vt:lpstr>reserve_claimed_partner1</vt:lpstr>
      <vt:lpstr>reserve_claimed_partner2</vt:lpstr>
      <vt:lpstr>reserve_claimed_partner3</vt:lpstr>
      <vt:lpstr>reserve_claimed_partner4</vt:lpstr>
      <vt:lpstr>reserve_claimed_total</vt:lpstr>
      <vt:lpstr>reserve_partner1</vt:lpstr>
      <vt:lpstr>reserve_partner1_PSP1</vt:lpstr>
      <vt:lpstr>reserve_partner1_PSP10</vt:lpstr>
      <vt:lpstr>reserve_partner1_PSP11</vt:lpstr>
      <vt:lpstr>reserve_partner1_PSP12</vt:lpstr>
      <vt:lpstr>reserve_partner1_PSP2</vt:lpstr>
      <vt:lpstr>reserve_partner1_PSP3</vt:lpstr>
      <vt:lpstr>reserve_partner1_PSP4</vt:lpstr>
      <vt:lpstr>reserve_partner1_PSP5</vt:lpstr>
      <vt:lpstr>reserve_partner1_PSP6</vt:lpstr>
      <vt:lpstr>reserve_partner1_PSP7</vt:lpstr>
      <vt:lpstr>reserve_partner1_PSP8</vt:lpstr>
      <vt:lpstr>reserve_partner1_PSP9</vt:lpstr>
      <vt:lpstr>reserve_partner2</vt:lpstr>
      <vt:lpstr>reserve_partner2_PSP1</vt:lpstr>
      <vt:lpstr>reserve_partner2_PSP10</vt:lpstr>
      <vt:lpstr>reserve_partner2_PSP11</vt:lpstr>
      <vt:lpstr>reserve_partner2_PSP12</vt:lpstr>
      <vt:lpstr>reserve_partner2_PSP2</vt:lpstr>
      <vt:lpstr>reserve_partner2_PSP3</vt:lpstr>
      <vt:lpstr>reserve_partner2_PSP4</vt:lpstr>
      <vt:lpstr>reserve_partner2_PSP5</vt:lpstr>
      <vt:lpstr>reserve_partner2_PSP6</vt:lpstr>
      <vt:lpstr>reserve_partner2_PSP7</vt:lpstr>
      <vt:lpstr>reserve_partner2_PSP8</vt:lpstr>
      <vt:lpstr>reserve_partner2_PSP9</vt:lpstr>
      <vt:lpstr>reserve_partner3</vt:lpstr>
      <vt:lpstr>reserve_partner3_PSP1</vt:lpstr>
      <vt:lpstr>reserve_partner3_PSP10</vt:lpstr>
      <vt:lpstr>reserve_partner3_PSP11</vt:lpstr>
      <vt:lpstr>reserve_partner3_PSP12</vt:lpstr>
      <vt:lpstr>reserve_partner3_PSP2</vt:lpstr>
      <vt:lpstr>reserve_partner3_PSP3</vt:lpstr>
      <vt:lpstr>reserve_partner3_PSP4</vt:lpstr>
      <vt:lpstr>reserve_partner3_PSP5</vt:lpstr>
      <vt:lpstr>reserve_partner3_PSP6</vt:lpstr>
      <vt:lpstr>reserve_partner3_PSP7</vt:lpstr>
      <vt:lpstr>reserve_partner3_PSP8</vt:lpstr>
      <vt:lpstr>reserve_partner3_PSP9</vt:lpstr>
      <vt:lpstr>reserve_partner4</vt:lpstr>
      <vt:lpstr>reserve_partner4_PSP1</vt:lpstr>
      <vt:lpstr>reserve_partner4_PSP10</vt:lpstr>
      <vt:lpstr>reserve_partner4_PSP11</vt:lpstr>
      <vt:lpstr>reserve_partner4_PSP12</vt:lpstr>
      <vt:lpstr>reserve_partner4_PSP2</vt:lpstr>
      <vt:lpstr>reserve_partner4_PSP3</vt:lpstr>
      <vt:lpstr>reserve_partner4_PSP4</vt:lpstr>
      <vt:lpstr>reserve_partner4_PSP5</vt:lpstr>
      <vt:lpstr>reserve_partner4_PSP6</vt:lpstr>
      <vt:lpstr>reserve_partner4_PSP7</vt:lpstr>
      <vt:lpstr>reserve_partner4_PSP8</vt:lpstr>
      <vt:lpstr>reserve_partner4_PSP9</vt:lpstr>
      <vt:lpstr>reserve_promoter_PSP1</vt:lpstr>
      <vt:lpstr>reserve_promoter_PSP10</vt:lpstr>
      <vt:lpstr>reserve_promoter_PSP11</vt:lpstr>
      <vt:lpstr>reserve_promoter_PSP12</vt:lpstr>
      <vt:lpstr>reserve_promoter_PSP2</vt:lpstr>
      <vt:lpstr>reserve_promoter_PSP3</vt:lpstr>
      <vt:lpstr>reserve_promoter_PSP4</vt:lpstr>
      <vt:lpstr>reserve_promoter_PSP5</vt:lpstr>
      <vt:lpstr>reserve_promoter_PSP6</vt:lpstr>
      <vt:lpstr>reserve_promoter_PSP7</vt:lpstr>
      <vt:lpstr>reserve_promoter_PSP8</vt:lpstr>
      <vt:lpstr>reserve_promoter_PSP9</vt:lpstr>
      <vt:lpstr>reserve_settled_applicant</vt:lpstr>
      <vt:lpstr>reserve_settled_partner1</vt:lpstr>
      <vt:lpstr>reserve_settled_partner2</vt:lpstr>
      <vt:lpstr>reserve_settled_partner3</vt:lpstr>
      <vt:lpstr>reserve_settled_partner4</vt:lpstr>
      <vt:lpstr>reserve_settled_total</vt:lpstr>
      <vt:lpstr>reserve_total</vt:lpstr>
      <vt:lpstr>reserve_total_PSP1</vt:lpstr>
      <vt:lpstr>reserve_total_PSP10</vt:lpstr>
      <vt:lpstr>reserve_total_PSP11</vt:lpstr>
      <vt:lpstr>reserve_total_PSP12</vt:lpstr>
      <vt:lpstr>reserve_total_PSP2</vt:lpstr>
      <vt:lpstr>reserve_total_PSP3</vt:lpstr>
      <vt:lpstr>reserve_total_PSP4</vt:lpstr>
      <vt:lpstr>reserve_total_PSP5</vt:lpstr>
      <vt:lpstr>reserve_total_PSP6</vt:lpstr>
      <vt:lpstr>reserve_total_PSP7</vt:lpstr>
      <vt:lpstr>reserve_total_PSP8</vt:lpstr>
      <vt:lpstr>reserve_total_PSP9</vt:lpstr>
      <vt:lpstr>resimbursements_applicant</vt:lpstr>
      <vt:lpstr>response_administrative_burden</vt:lpstr>
      <vt:lpstr>response_communication_satisfaction</vt:lpstr>
      <vt:lpstr>response_financing</vt:lpstr>
      <vt:lpstr>response_overal_satisfaction</vt:lpstr>
      <vt:lpstr>response_partnership</vt:lpstr>
      <vt:lpstr>retention_limit_amount</vt:lpstr>
      <vt:lpstr>retention_limit_percentage</vt:lpstr>
      <vt:lpstr>retention_system</vt:lpstr>
      <vt:lpstr>risk_answer1</vt:lpstr>
      <vt:lpstr>risk_answer10</vt:lpstr>
      <vt:lpstr>risk_answer11</vt:lpstr>
      <vt:lpstr>risk_answer12</vt:lpstr>
      <vt:lpstr>risk_answer13</vt:lpstr>
      <vt:lpstr>risk_answer14</vt:lpstr>
      <vt:lpstr>risk_answer15</vt:lpstr>
      <vt:lpstr>risk_answer16</vt:lpstr>
      <vt:lpstr>risk_answer17</vt:lpstr>
      <vt:lpstr>risk_answer18</vt:lpstr>
      <vt:lpstr>risk_answer19</vt:lpstr>
      <vt:lpstr>risk_answer2</vt:lpstr>
      <vt:lpstr>risk_answer20</vt:lpstr>
      <vt:lpstr>risk_answer21</vt:lpstr>
      <vt:lpstr>risk_answer22</vt:lpstr>
      <vt:lpstr>risk_answer23</vt:lpstr>
      <vt:lpstr>risk_answer24</vt:lpstr>
      <vt:lpstr>risk_answer3</vt:lpstr>
      <vt:lpstr>risk_answer4</vt:lpstr>
      <vt:lpstr>risk_answer5</vt:lpstr>
      <vt:lpstr>risk_answer6</vt:lpstr>
      <vt:lpstr>risk_answer7</vt:lpstr>
      <vt:lpstr>risk_answer8</vt:lpstr>
      <vt:lpstr>risk_answer9</vt:lpstr>
      <vt:lpstr>risk_answers</vt:lpstr>
      <vt:lpstr>risk_category1</vt:lpstr>
      <vt:lpstr>risk_category10</vt:lpstr>
      <vt:lpstr>risk_category11</vt:lpstr>
      <vt:lpstr>risk_category12</vt:lpstr>
      <vt:lpstr>risk_category13</vt:lpstr>
      <vt:lpstr>risk_category14</vt:lpstr>
      <vt:lpstr>risk_category15</vt:lpstr>
      <vt:lpstr>risk_category16</vt:lpstr>
      <vt:lpstr>risk_category17</vt:lpstr>
      <vt:lpstr>risk_category18</vt:lpstr>
      <vt:lpstr>risk_category19</vt:lpstr>
      <vt:lpstr>risk_category2</vt:lpstr>
      <vt:lpstr>risk_category20</vt:lpstr>
      <vt:lpstr>risk_category21</vt:lpstr>
      <vt:lpstr>risk_category22</vt:lpstr>
      <vt:lpstr>risk_category23</vt:lpstr>
      <vt:lpstr>risk_category24</vt:lpstr>
      <vt:lpstr>risk_category3</vt:lpstr>
      <vt:lpstr>risk_category4</vt:lpstr>
      <vt:lpstr>risk_category5</vt:lpstr>
      <vt:lpstr>risk_category6</vt:lpstr>
      <vt:lpstr>risk_category7</vt:lpstr>
      <vt:lpstr>risk_category8</vt:lpstr>
      <vt:lpstr>risk_category9</vt:lpstr>
      <vt:lpstr>risk_mitigation_plan1</vt:lpstr>
      <vt:lpstr>risk_mitigation_plan10</vt:lpstr>
      <vt:lpstr>risk_mitigation_plan11</vt:lpstr>
      <vt:lpstr>risk_mitigation_plan12</vt:lpstr>
      <vt:lpstr>risk_mitigation_plan13</vt:lpstr>
      <vt:lpstr>risk_mitigation_plan14</vt:lpstr>
      <vt:lpstr>risk_mitigation_plan15</vt:lpstr>
      <vt:lpstr>risk_mitigation_plan16</vt:lpstr>
      <vt:lpstr>risk_mitigation_plan17</vt:lpstr>
      <vt:lpstr>risk_mitigation_plan18</vt:lpstr>
      <vt:lpstr>risk_mitigation_plan19</vt:lpstr>
      <vt:lpstr>risk_mitigation_plan2</vt:lpstr>
      <vt:lpstr>risk_mitigation_plan20</vt:lpstr>
      <vt:lpstr>risk_mitigation_plan21</vt:lpstr>
      <vt:lpstr>risk_mitigation_plan22</vt:lpstr>
      <vt:lpstr>risk_mitigation_plan23</vt:lpstr>
      <vt:lpstr>risk_mitigation_plan24</vt:lpstr>
      <vt:lpstr>risk_mitigation_plan3</vt:lpstr>
      <vt:lpstr>risk_mitigation_plan4</vt:lpstr>
      <vt:lpstr>risk_mitigation_plan5</vt:lpstr>
      <vt:lpstr>risk_mitigation_plan6</vt:lpstr>
      <vt:lpstr>risk_mitigation_plan7</vt:lpstr>
      <vt:lpstr>risk_mitigation_plan8</vt:lpstr>
      <vt:lpstr>risk_mitigation_plan9</vt:lpstr>
      <vt:lpstr>risk_question_numbers</vt:lpstr>
      <vt:lpstr>risk_question1</vt:lpstr>
      <vt:lpstr>risk_question10</vt:lpstr>
      <vt:lpstr>risk_question11</vt:lpstr>
      <vt:lpstr>risk_question12</vt:lpstr>
      <vt:lpstr>risk_question13</vt:lpstr>
      <vt:lpstr>risk_question14</vt:lpstr>
      <vt:lpstr>risk_question15</vt:lpstr>
      <vt:lpstr>risk_question16</vt:lpstr>
      <vt:lpstr>risk_question17</vt:lpstr>
      <vt:lpstr>risk_question18</vt:lpstr>
      <vt:lpstr>risk_question19</vt:lpstr>
      <vt:lpstr>risk_question2</vt:lpstr>
      <vt:lpstr>risk_question20</vt:lpstr>
      <vt:lpstr>risk_question21</vt:lpstr>
      <vt:lpstr>risk_question22</vt:lpstr>
      <vt:lpstr>risk_question23</vt:lpstr>
      <vt:lpstr>risk_question24</vt:lpstr>
      <vt:lpstr>risk_question3</vt:lpstr>
      <vt:lpstr>risk_question4</vt:lpstr>
      <vt:lpstr>risk_question5</vt:lpstr>
      <vt:lpstr>risk_question6</vt:lpstr>
      <vt:lpstr>risk_question7</vt:lpstr>
      <vt:lpstr>risk_question8</vt:lpstr>
      <vt:lpstr>risk_question9</vt:lpstr>
      <vt:lpstr>roma_inclusion_contribution</vt:lpstr>
      <vt:lpstr>roma_inclusion_remarks</vt:lpstr>
      <vt:lpstr>second_extraordinary_payment_date</vt:lpstr>
      <vt:lpstr>second_extraordinary_payment_partner1</vt:lpstr>
      <vt:lpstr>second_extraordinary_payment_partner2</vt:lpstr>
      <vt:lpstr>second_extraordinary_payment_partner3</vt:lpstr>
      <vt:lpstr>second_extraordinary_payment_partner4</vt:lpstr>
      <vt:lpstr>second_extraordinary_payment_promoter</vt:lpstr>
      <vt:lpstr>second_extraordinary_payment_total</vt:lpstr>
      <vt:lpstr>second_interim_payment_date</vt:lpstr>
      <vt:lpstr>second_interim_payment_partner1</vt:lpstr>
      <vt:lpstr>second_interim_payment_partner2</vt:lpstr>
      <vt:lpstr>second_interim_payment_partner3</vt:lpstr>
      <vt:lpstr>second_interim_payment_partner4</vt:lpstr>
      <vt:lpstr>second_interim_payment_promoter</vt:lpstr>
      <vt:lpstr>second_interim_payment_total</vt:lpstr>
      <vt:lpstr>second_reimbursement_date</vt:lpstr>
      <vt:lpstr>second_reimbursement_partner1</vt:lpstr>
      <vt:lpstr>second_reimbursement_partner2</vt:lpstr>
      <vt:lpstr>second_reimbursement_partner3</vt:lpstr>
      <vt:lpstr>second_reimbursement_partner4</vt:lpstr>
      <vt:lpstr>second_reimbursement_promoter</vt:lpstr>
      <vt:lpstr>second_reimbursement_total</vt:lpstr>
      <vt:lpstr>settled_and_declared_expenses_on_grant_percentage</vt:lpstr>
      <vt:lpstr>seventh_reimbursement_date</vt:lpstr>
      <vt:lpstr>seventh_reimbursement_partner1</vt:lpstr>
      <vt:lpstr>seventh_reimbursement_partner2</vt:lpstr>
      <vt:lpstr>seventh_reimbursement_partner3</vt:lpstr>
      <vt:lpstr>seventh_reimbursement_partner4</vt:lpstr>
      <vt:lpstr>seventh_reimbursement_promoter</vt:lpstr>
      <vt:lpstr>seventh_reimbursement_total</vt:lpstr>
      <vt:lpstr>sixth_interim_payment_date</vt:lpstr>
      <vt:lpstr>sixth_interim_payment_partner1</vt:lpstr>
      <vt:lpstr>sixth_interim_payment_partner2</vt:lpstr>
      <vt:lpstr>sixth_interim_payment_partner3</vt:lpstr>
      <vt:lpstr>sixth_interim_payment_partner4</vt:lpstr>
      <vt:lpstr>sixth_interim_payment_promoter</vt:lpstr>
      <vt:lpstr>sixth_interim_payment_total</vt:lpstr>
      <vt:lpstr>sixth_reimbursement_date</vt:lpstr>
      <vt:lpstr>sixth_reimbursement_partner1</vt:lpstr>
      <vt:lpstr>sixth_reimbursement_partner2</vt:lpstr>
      <vt:lpstr>sixth_reimbursement_partner3</vt:lpstr>
      <vt:lpstr>sixth_reimbursement_partner4</vt:lpstr>
      <vt:lpstr>sixth_reimbursement_promoter</vt:lpstr>
      <vt:lpstr>sixth_reimbursement_total</vt:lpstr>
      <vt:lpstr>social_inclusion_other_groups_contribution</vt:lpstr>
      <vt:lpstr>social_inclusion_other_groups_remarks</vt:lpstr>
      <vt:lpstr>standard_indicator_baseline1</vt:lpstr>
      <vt:lpstr>standard_indicator_baseline10</vt:lpstr>
      <vt:lpstr>standard_indicator_baseline11</vt:lpstr>
      <vt:lpstr>standard_indicator_baseline12</vt:lpstr>
      <vt:lpstr>standard_indicator_baseline13</vt:lpstr>
      <vt:lpstr>standard_indicator_baseline14</vt:lpstr>
      <vt:lpstr>standard_indicator_baseline2</vt:lpstr>
      <vt:lpstr>standard_indicator_baseline3</vt:lpstr>
      <vt:lpstr>standard_indicator_baseline4</vt:lpstr>
      <vt:lpstr>standard_indicator_baseline5</vt:lpstr>
      <vt:lpstr>standard_indicator_baseline6</vt:lpstr>
      <vt:lpstr>standard_indicator_baseline7</vt:lpstr>
      <vt:lpstr>standard_indicator_baseline8</vt:lpstr>
      <vt:lpstr>standard_indicator_baseline9</vt:lpstr>
      <vt:lpstr>standard_indicator_code1</vt:lpstr>
      <vt:lpstr>standard_indicator_code10</vt:lpstr>
      <vt:lpstr>standard_indicator_code11</vt:lpstr>
      <vt:lpstr>standard_indicator_code12</vt:lpstr>
      <vt:lpstr>standard_indicator_code13</vt:lpstr>
      <vt:lpstr>standard_indicator_code14</vt:lpstr>
      <vt:lpstr>standard_indicator_code2</vt:lpstr>
      <vt:lpstr>standard_indicator_code3</vt:lpstr>
      <vt:lpstr>standard_indicator_code4</vt:lpstr>
      <vt:lpstr>standard_indicator_code5</vt:lpstr>
      <vt:lpstr>standard_indicator_code6</vt:lpstr>
      <vt:lpstr>standard_indicator_code7</vt:lpstr>
      <vt:lpstr>standard_indicator_code8</vt:lpstr>
      <vt:lpstr>standard_indicator_code9</vt:lpstr>
      <vt:lpstr>standard_indicator_current_value1</vt:lpstr>
      <vt:lpstr>standard_indicator_current_value10</vt:lpstr>
      <vt:lpstr>standard_indicator_current_value11</vt:lpstr>
      <vt:lpstr>standard_indicator_current_value12</vt:lpstr>
      <vt:lpstr>standard_indicator_current_value13</vt:lpstr>
      <vt:lpstr>standard_indicator_current_value14</vt:lpstr>
      <vt:lpstr>standard_indicator_current_value2</vt:lpstr>
      <vt:lpstr>standard_indicator_current_value3</vt:lpstr>
      <vt:lpstr>standard_indicator_current_value4</vt:lpstr>
      <vt:lpstr>standard_indicator_current_value5</vt:lpstr>
      <vt:lpstr>standard_indicator_current_value6</vt:lpstr>
      <vt:lpstr>standard_indicator_current_value7</vt:lpstr>
      <vt:lpstr>standard_indicator_current_value8</vt:lpstr>
      <vt:lpstr>standard_indicator_current_value9</vt:lpstr>
      <vt:lpstr>standard_indicator_level1</vt:lpstr>
      <vt:lpstr>standard_indicator_level10</vt:lpstr>
      <vt:lpstr>standard_indicator_level11</vt:lpstr>
      <vt:lpstr>standard_indicator_level12</vt:lpstr>
      <vt:lpstr>standard_indicator_level13</vt:lpstr>
      <vt:lpstr>standard_indicator_level14</vt:lpstr>
      <vt:lpstr>standard_indicator_level2</vt:lpstr>
      <vt:lpstr>standard_indicator_level3</vt:lpstr>
      <vt:lpstr>standard_indicator_level4</vt:lpstr>
      <vt:lpstr>standard_indicator_level5</vt:lpstr>
      <vt:lpstr>standard_indicator_level6</vt:lpstr>
      <vt:lpstr>standard_indicator_level7</vt:lpstr>
      <vt:lpstr>standard_indicator_level8</vt:lpstr>
      <vt:lpstr>standard_indicator_level9</vt:lpstr>
      <vt:lpstr>standard_indicator_measurement1</vt:lpstr>
      <vt:lpstr>standard_indicator_measurement10</vt:lpstr>
      <vt:lpstr>standard_indicator_measurement11</vt:lpstr>
      <vt:lpstr>standard_indicator_measurement12</vt:lpstr>
      <vt:lpstr>standard_indicator_measurement13</vt:lpstr>
      <vt:lpstr>standard_indicator_measurement14</vt:lpstr>
      <vt:lpstr>standard_indicator_measurement2</vt:lpstr>
      <vt:lpstr>standard_indicator_measurement3</vt:lpstr>
      <vt:lpstr>standard_indicator_measurement4</vt:lpstr>
      <vt:lpstr>standard_indicator_measurement5</vt:lpstr>
      <vt:lpstr>standard_indicator_measurement6</vt:lpstr>
      <vt:lpstr>standard_indicator_measurement7</vt:lpstr>
      <vt:lpstr>standard_indicator_measurement8</vt:lpstr>
      <vt:lpstr>standard_indicator_measurement9</vt:lpstr>
      <vt:lpstr>standard_indicator_target1</vt:lpstr>
      <vt:lpstr>standard_indicator_target10</vt:lpstr>
      <vt:lpstr>standard_indicator_target11</vt:lpstr>
      <vt:lpstr>standard_indicator_target12</vt:lpstr>
      <vt:lpstr>standard_indicator_target13</vt:lpstr>
      <vt:lpstr>standard_indicator_target14</vt:lpstr>
      <vt:lpstr>standard_indicator_target2</vt:lpstr>
      <vt:lpstr>standard_indicator_target3</vt:lpstr>
      <vt:lpstr>standard_indicator_target4</vt:lpstr>
      <vt:lpstr>standard_indicator_target5</vt:lpstr>
      <vt:lpstr>standard_indicator_target6</vt:lpstr>
      <vt:lpstr>standard_indicator_target7</vt:lpstr>
      <vt:lpstr>standard_indicator_target8</vt:lpstr>
      <vt:lpstr>standard_indicator_target9</vt:lpstr>
      <vt:lpstr>standard_indicator_type1</vt:lpstr>
      <vt:lpstr>standard_indicator_type10</vt:lpstr>
      <vt:lpstr>standard_indicator_type11</vt:lpstr>
      <vt:lpstr>standard_indicator_type12</vt:lpstr>
      <vt:lpstr>standard_indicator_type13</vt:lpstr>
      <vt:lpstr>standard_indicator_type14</vt:lpstr>
      <vt:lpstr>standard_indicator_type2</vt:lpstr>
      <vt:lpstr>standard_indicator_type3</vt:lpstr>
      <vt:lpstr>standard_indicator_type4</vt:lpstr>
      <vt:lpstr>standard_indicator_type5</vt:lpstr>
      <vt:lpstr>standard_indicator_type6</vt:lpstr>
      <vt:lpstr>standard_indicator_type7</vt:lpstr>
      <vt:lpstr>standard_indicator_type8</vt:lpstr>
      <vt:lpstr>standard_indicator_type9</vt:lpstr>
      <vt:lpstr>standard_indicator1</vt:lpstr>
      <vt:lpstr>standard_indicator1_disag_type1</vt:lpstr>
      <vt:lpstr>standard_indicator1_disag_type10</vt:lpstr>
      <vt:lpstr>standard_indicator1_disag_type11</vt:lpstr>
      <vt:lpstr>standard_indicator1_disag_type12</vt:lpstr>
      <vt:lpstr>standard_indicator1_disag_type2</vt:lpstr>
      <vt:lpstr>standard_indicator1_disag_type3</vt:lpstr>
      <vt:lpstr>standard_indicator1_disag_type4</vt:lpstr>
      <vt:lpstr>standard_indicator1_disag_type5</vt:lpstr>
      <vt:lpstr>standard_indicator1_disag_type6</vt:lpstr>
      <vt:lpstr>standard_indicator1_disag_type7</vt:lpstr>
      <vt:lpstr>standard_indicator1_disag_type8</vt:lpstr>
      <vt:lpstr>standard_indicator1_disag_type9</vt:lpstr>
      <vt:lpstr>standard_indicator1_disag_value1</vt:lpstr>
      <vt:lpstr>standard_indicator1_disag_value10</vt:lpstr>
      <vt:lpstr>standard_indicator1_disag_value11</vt:lpstr>
      <vt:lpstr>standard_indicator1_disag_value12</vt:lpstr>
      <vt:lpstr>standard_indicator1_disag_value2</vt:lpstr>
      <vt:lpstr>standard_indicator1_disag_value3</vt:lpstr>
      <vt:lpstr>standard_indicator1_disag_value4</vt:lpstr>
      <vt:lpstr>standard_indicator1_disag_value5</vt:lpstr>
      <vt:lpstr>standard_indicator1_disag_value6</vt:lpstr>
      <vt:lpstr>standard_indicator1_disag_value7</vt:lpstr>
      <vt:lpstr>standard_indicator1_disag_value8</vt:lpstr>
      <vt:lpstr>standard_indicator1_disag_value9</vt:lpstr>
      <vt:lpstr>standard_indicator10</vt:lpstr>
      <vt:lpstr>standard_indicator10_disag_type1</vt:lpstr>
      <vt:lpstr>standard_indicator10_disag_type10</vt:lpstr>
      <vt:lpstr>standard_indicator10_disag_type11</vt:lpstr>
      <vt:lpstr>standard_indicator10_disag_type12</vt:lpstr>
      <vt:lpstr>standard_indicator10_disag_type2</vt:lpstr>
      <vt:lpstr>standard_indicator10_disag_type3</vt:lpstr>
      <vt:lpstr>standard_indicator10_disag_type4</vt:lpstr>
      <vt:lpstr>standard_indicator10_disag_type5</vt:lpstr>
      <vt:lpstr>standard_indicator10_disag_type6</vt:lpstr>
      <vt:lpstr>standard_indicator10_disag_type7</vt:lpstr>
      <vt:lpstr>standard_indicator10_disag_type8</vt:lpstr>
      <vt:lpstr>standard_indicator10_disag_type9</vt:lpstr>
      <vt:lpstr>standard_indicator10_disag_value1</vt:lpstr>
      <vt:lpstr>standard_indicator10_disag_value10</vt:lpstr>
      <vt:lpstr>standard_indicator10_disag_value11</vt:lpstr>
      <vt:lpstr>standard_indicator10_disag_value12</vt:lpstr>
      <vt:lpstr>standard_indicator10_disag_value2</vt:lpstr>
      <vt:lpstr>standard_indicator10_disag_value3</vt:lpstr>
      <vt:lpstr>standard_indicator10_disag_value4</vt:lpstr>
      <vt:lpstr>standard_indicator10_disag_value5</vt:lpstr>
      <vt:lpstr>standard_indicator10_disag_value6</vt:lpstr>
      <vt:lpstr>standard_indicator10_disag_value7</vt:lpstr>
      <vt:lpstr>standard_indicator10_disag_value8</vt:lpstr>
      <vt:lpstr>standard_indicator10_disag_value9</vt:lpstr>
      <vt:lpstr>standard_indicator11</vt:lpstr>
      <vt:lpstr>standard_indicator11_disag_type1</vt:lpstr>
      <vt:lpstr>standard_indicator11_disag_type10</vt:lpstr>
      <vt:lpstr>standard_indicator11_disag_type11</vt:lpstr>
      <vt:lpstr>standard_indicator11_disag_type12</vt:lpstr>
      <vt:lpstr>standard_indicator11_disag_type2</vt:lpstr>
      <vt:lpstr>standard_indicator11_disag_type3</vt:lpstr>
      <vt:lpstr>standard_indicator11_disag_type4</vt:lpstr>
      <vt:lpstr>standard_indicator11_disag_type5</vt:lpstr>
      <vt:lpstr>standard_indicator11_disag_type6</vt:lpstr>
      <vt:lpstr>standard_indicator11_disag_type7</vt:lpstr>
      <vt:lpstr>standard_indicator11_disag_type8</vt:lpstr>
      <vt:lpstr>standard_indicator11_disag_type9</vt:lpstr>
      <vt:lpstr>standard_indicator11_disag_value1</vt:lpstr>
      <vt:lpstr>standard_indicator11_disag_value10</vt:lpstr>
      <vt:lpstr>standard_indicator11_disag_value11</vt:lpstr>
      <vt:lpstr>standard_indicator11_disag_value12</vt:lpstr>
      <vt:lpstr>standard_indicator11_disag_value2</vt:lpstr>
      <vt:lpstr>standard_indicator11_disag_value3</vt:lpstr>
      <vt:lpstr>standard_indicator11_disag_value4</vt:lpstr>
      <vt:lpstr>standard_indicator11_disag_value5</vt:lpstr>
      <vt:lpstr>standard_indicator11_disag_value6</vt:lpstr>
      <vt:lpstr>standard_indicator11_disag_value7</vt:lpstr>
      <vt:lpstr>standard_indicator11_disag_value8</vt:lpstr>
      <vt:lpstr>standard_indicator11_disag_value9</vt:lpstr>
      <vt:lpstr>standard_indicator12</vt:lpstr>
      <vt:lpstr>standard_indicator12_disag_type1</vt:lpstr>
      <vt:lpstr>standard_indicator12_disag_type10</vt:lpstr>
      <vt:lpstr>standard_indicator12_disag_type11</vt:lpstr>
      <vt:lpstr>standard_indicator12_disag_type12</vt:lpstr>
      <vt:lpstr>standard_indicator12_disag_type2</vt:lpstr>
      <vt:lpstr>standard_indicator12_disag_type3</vt:lpstr>
      <vt:lpstr>standard_indicator12_disag_type4</vt:lpstr>
      <vt:lpstr>standard_indicator12_disag_type5</vt:lpstr>
      <vt:lpstr>standard_indicator12_disag_type6</vt:lpstr>
      <vt:lpstr>standard_indicator12_disag_type7</vt:lpstr>
      <vt:lpstr>standard_indicator12_disag_type8</vt:lpstr>
      <vt:lpstr>standard_indicator12_disag_type9</vt:lpstr>
      <vt:lpstr>standard_indicator12_disag_value1</vt:lpstr>
      <vt:lpstr>standard_indicator12_disag_value10</vt:lpstr>
      <vt:lpstr>standard_indicator12_disag_value11</vt:lpstr>
      <vt:lpstr>standard_indicator12_disag_value12</vt:lpstr>
      <vt:lpstr>standard_indicator12_disag_value2</vt:lpstr>
      <vt:lpstr>standard_indicator12_disag_value3</vt:lpstr>
      <vt:lpstr>standard_indicator12_disag_value4</vt:lpstr>
      <vt:lpstr>standard_indicator12_disag_value5</vt:lpstr>
      <vt:lpstr>standard_indicator12_disag_value6</vt:lpstr>
      <vt:lpstr>standard_indicator12_disag_value7</vt:lpstr>
      <vt:lpstr>standard_indicator12_disag_value8</vt:lpstr>
      <vt:lpstr>standard_indicator12_disag_value9</vt:lpstr>
      <vt:lpstr>standard_indicator13</vt:lpstr>
      <vt:lpstr>standard_indicator13_disag_type1</vt:lpstr>
      <vt:lpstr>standard_indicator13_disag_type10</vt:lpstr>
      <vt:lpstr>standard_indicator13_disag_type11</vt:lpstr>
      <vt:lpstr>standard_indicator13_disag_type12</vt:lpstr>
      <vt:lpstr>standard_indicator13_disag_type2</vt:lpstr>
      <vt:lpstr>standard_indicator13_disag_type3</vt:lpstr>
      <vt:lpstr>standard_indicator13_disag_type4</vt:lpstr>
      <vt:lpstr>standard_indicator13_disag_type5</vt:lpstr>
      <vt:lpstr>standard_indicator13_disag_type6</vt:lpstr>
      <vt:lpstr>standard_indicator13_disag_type7</vt:lpstr>
      <vt:lpstr>standard_indicator13_disag_type8</vt:lpstr>
      <vt:lpstr>standard_indicator13_disag_type9</vt:lpstr>
      <vt:lpstr>standard_indicator13_disag_value1</vt:lpstr>
      <vt:lpstr>standard_indicator13_disag_value10</vt:lpstr>
      <vt:lpstr>standard_indicator13_disag_value11</vt:lpstr>
      <vt:lpstr>standard_indicator13_disag_value12</vt:lpstr>
      <vt:lpstr>standard_indicator13_disag_value2</vt:lpstr>
      <vt:lpstr>standard_indicator13_disag_value3</vt:lpstr>
      <vt:lpstr>standard_indicator13_disag_value4</vt:lpstr>
      <vt:lpstr>standard_indicator13_disag_value5</vt:lpstr>
      <vt:lpstr>standard_indicator13_disag_value6</vt:lpstr>
      <vt:lpstr>standard_indicator13_disag_value7</vt:lpstr>
      <vt:lpstr>standard_indicator13_disag_value8</vt:lpstr>
      <vt:lpstr>standard_indicator13_disag_value9</vt:lpstr>
      <vt:lpstr>standard_indicator14</vt:lpstr>
      <vt:lpstr>standard_indicator14_disag_type1</vt:lpstr>
      <vt:lpstr>standard_indicator14_disag_type10</vt:lpstr>
      <vt:lpstr>standard_indicator14_disag_type11</vt:lpstr>
      <vt:lpstr>standard_indicator14_disag_type12</vt:lpstr>
      <vt:lpstr>standard_indicator14_disag_type2</vt:lpstr>
      <vt:lpstr>standard_indicator14_disag_type3</vt:lpstr>
      <vt:lpstr>standard_indicator14_disag_type4</vt:lpstr>
      <vt:lpstr>standard_indicator14_disag_type5</vt:lpstr>
      <vt:lpstr>standard_indicator14_disag_type6</vt:lpstr>
      <vt:lpstr>standard_indicator14_disag_type7</vt:lpstr>
      <vt:lpstr>standard_indicator14_disag_type8</vt:lpstr>
      <vt:lpstr>standard_indicator14_disag_type9</vt:lpstr>
      <vt:lpstr>standard_indicator14_disag_value1</vt:lpstr>
      <vt:lpstr>standard_indicator14_disag_value10</vt:lpstr>
      <vt:lpstr>standard_indicator14_disag_value11</vt:lpstr>
      <vt:lpstr>standard_indicator14_disag_value12</vt:lpstr>
      <vt:lpstr>standard_indicator14_disag_value2</vt:lpstr>
      <vt:lpstr>standard_indicator14_disag_value3</vt:lpstr>
      <vt:lpstr>standard_indicator14_disag_value4</vt:lpstr>
      <vt:lpstr>standard_indicator14_disag_value5</vt:lpstr>
      <vt:lpstr>standard_indicator14_disag_value6</vt:lpstr>
      <vt:lpstr>standard_indicator14_disag_value7</vt:lpstr>
      <vt:lpstr>standard_indicator14_disag_value8</vt:lpstr>
      <vt:lpstr>standard_indicator14_disag_value9</vt:lpstr>
      <vt:lpstr>standard_indicator2</vt:lpstr>
      <vt:lpstr>standard_indicator2_disag_type1</vt:lpstr>
      <vt:lpstr>standard_indicator2_disag_type10</vt:lpstr>
      <vt:lpstr>standard_indicator2_disag_type11</vt:lpstr>
      <vt:lpstr>standard_indicator2_disag_type12</vt:lpstr>
      <vt:lpstr>standard_indicator2_disag_type2</vt:lpstr>
      <vt:lpstr>standard_indicator2_disag_type3</vt:lpstr>
      <vt:lpstr>standard_indicator2_disag_type4</vt:lpstr>
      <vt:lpstr>standard_indicator2_disag_type5</vt:lpstr>
      <vt:lpstr>standard_indicator2_disag_type6</vt:lpstr>
      <vt:lpstr>standard_indicator2_disag_type7</vt:lpstr>
      <vt:lpstr>standard_indicator2_disag_type8</vt:lpstr>
      <vt:lpstr>standard_indicator2_disag_type9</vt:lpstr>
      <vt:lpstr>standard_indicator2_disag_value1</vt:lpstr>
      <vt:lpstr>standard_indicator2_disag_value10</vt:lpstr>
      <vt:lpstr>standard_indicator2_disag_value11</vt:lpstr>
      <vt:lpstr>standard_indicator2_disag_value12</vt:lpstr>
      <vt:lpstr>standard_indicator2_disag_value2</vt:lpstr>
      <vt:lpstr>standard_indicator2_disag_value3</vt:lpstr>
      <vt:lpstr>standard_indicator2_disag_value4</vt:lpstr>
      <vt:lpstr>standard_indicator2_disag_value5</vt:lpstr>
      <vt:lpstr>standard_indicator2_disag_value6</vt:lpstr>
      <vt:lpstr>standard_indicator2_disag_value7</vt:lpstr>
      <vt:lpstr>standard_indicator2_disag_value8</vt:lpstr>
      <vt:lpstr>standard_indicator2_disag_value9</vt:lpstr>
      <vt:lpstr>standard_indicator3</vt:lpstr>
      <vt:lpstr>standard_indicator3_disag_type1</vt:lpstr>
      <vt:lpstr>standard_indicator3_disag_type10</vt:lpstr>
      <vt:lpstr>standard_indicator3_disag_type11</vt:lpstr>
      <vt:lpstr>standard_indicator3_disag_type12</vt:lpstr>
      <vt:lpstr>standard_indicator3_disag_type2</vt:lpstr>
      <vt:lpstr>standard_indicator3_disag_type3</vt:lpstr>
      <vt:lpstr>standard_indicator3_disag_type4</vt:lpstr>
      <vt:lpstr>standard_indicator3_disag_type5</vt:lpstr>
      <vt:lpstr>standard_indicator3_disag_type6</vt:lpstr>
      <vt:lpstr>standard_indicator3_disag_type7</vt:lpstr>
      <vt:lpstr>standard_indicator3_disag_type8</vt:lpstr>
      <vt:lpstr>standard_indicator3_disag_type9</vt:lpstr>
      <vt:lpstr>standard_indicator3_disag_value1</vt:lpstr>
      <vt:lpstr>standard_indicator3_disag_value10</vt:lpstr>
      <vt:lpstr>standard_indicator3_disag_value11</vt:lpstr>
      <vt:lpstr>standard_indicator3_disag_value12</vt:lpstr>
      <vt:lpstr>standard_indicator3_disag_value2</vt:lpstr>
      <vt:lpstr>standard_indicator3_disag_value3</vt:lpstr>
      <vt:lpstr>standard_indicator3_disag_value4</vt:lpstr>
      <vt:lpstr>standard_indicator3_disag_value5</vt:lpstr>
      <vt:lpstr>standard_indicator3_disag_value6</vt:lpstr>
      <vt:lpstr>standard_indicator3_disag_value7</vt:lpstr>
      <vt:lpstr>standard_indicator3_disag_value8</vt:lpstr>
      <vt:lpstr>standard_indicator3_disag_value9</vt:lpstr>
      <vt:lpstr>standard_indicator4</vt:lpstr>
      <vt:lpstr>standard_indicator4_disag_type1</vt:lpstr>
      <vt:lpstr>standard_indicator4_disag_type10</vt:lpstr>
      <vt:lpstr>standard_indicator4_disag_type11</vt:lpstr>
      <vt:lpstr>standard_indicator4_disag_type12</vt:lpstr>
      <vt:lpstr>standard_indicator4_disag_type2</vt:lpstr>
      <vt:lpstr>standard_indicator4_disag_type3</vt:lpstr>
      <vt:lpstr>standard_indicator4_disag_type4</vt:lpstr>
      <vt:lpstr>standard_indicator4_disag_type5</vt:lpstr>
      <vt:lpstr>standard_indicator4_disag_type6</vt:lpstr>
      <vt:lpstr>standard_indicator4_disag_type7</vt:lpstr>
      <vt:lpstr>standard_indicator4_disag_type8</vt:lpstr>
      <vt:lpstr>standard_indicator4_disag_type9</vt:lpstr>
      <vt:lpstr>standard_indicator4_disag_value1</vt:lpstr>
      <vt:lpstr>standard_indicator4_disag_value10</vt:lpstr>
      <vt:lpstr>standard_indicator4_disag_value11</vt:lpstr>
      <vt:lpstr>standard_indicator4_disag_value12</vt:lpstr>
      <vt:lpstr>standard_indicator4_disag_value2</vt:lpstr>
      <vt:lpstr>standard_indicator4_disag_value3</vt:lpstr>
      <vt:lpstr>standard_indicator4_disag_value4</vt:lpstr>
      <vt:lpstr>standard_indicator4_disag_value5</vt:lpstr>
      <vt:lpstr>standard_indicator4_disag_value6</vt:lpstr>
      <vt:lpstr>standard_indicator4_disag_value7</vt:lpstr>
      <vt:lpstr>standard_indicator4_disag_value8</vt:lpstr>
      <vt:lpstr>standard_indicator4_disag_value9</vt:lpstr>
      <vt:lpstr>standard_indicator5</vt:lpstr>
      <vt:lpstr>standard_indicator5_disag_type1</vt:lpstr>
      <vt:lpstr>standard_indicator5_disag_type10</vt:lpstr>
      <vt:lpstr>standard_indicator5_disag_type11</vt:lpstr>
      <vt:lpstr>standard_indicator5_disag_type12</vt:lpstr>
      <vt:lpstr>standard_indicator5_disag_type2</vt:lpstr>
      <vt:lpstr>standard_indicator5_disag_type3</vt:lpstr>
      <vt:lpstr>standard_indicator5_disag_type4</vt:lpstr>
      <vt:lpstr>standard_indicator5_disag_type5</vt:lpstr>
      <vt:lpstr>standard_indicator5_disag_type6</vt:lpstr>
      <vt:lpstr>standard_indicator5_disag_type7</vt:lpstr>
      <vt:lpstr>standard_indicator5_disag_type8</vt:lpstr>
      <vt:lpstr>standard_indicator5_disag_type9</vt:lpstr>
      <vt:lpstr>standard_indicator5_disag_value1</vt:lpstr>
      <vt:lpstr>standard_indicator5_disag_value10</vt:lpstr>
      <vt:lpstr>standard_indicator5_disag_value11</vt:lpstr>
      <vt:lpstr>standard_indicator5_disag_value12</vt:lpstr>
      <vt:lpstr>standard_indicator5_disag_value2</vt:lpstr>
      <vt:lpstr>standard_indicator5_disag_value3</vt:lpstr>
      <vt:lpstr>standard_indicator5_disag_value4</vt:lpstr>
      <vt:lpstr>standard_indicator5_disag_value5</vt:lpstr>
      <vt:lpstr>standard_indicator5_disag_value6</vt:lpstr>
      <vt:lpstr>standard_indicator5_disag_value7</vt:lpstr>
      <vt:lpstr>standard_indicator5_disag_value8</vt:lpstr>
      <vt:lpstr>standard_indicator5_disag_value9</vt:lpstr>
      <vt:lpstr>standard_indicator6</vt:lpstr>
      <vt:lpstr>standard_indicator6_disag_type1</vt:lpstr>
      <vt:lpstr>standard_indicator6_disag_type10</vt:lpstr>
      <vt:lpstr>standard_indicator6_disag_type11</vt:lpstr>
      <vt:lpstr>standard_indicator6_disag_type12</vt:lpstr>
      <vt:lpstr>standard_indicator6_disag_type2</vt:lpstr>
      <vt:lpstr>standard_indicator6_disag_type3</vt:lpstr>
      <vt:lpstr>standard_indicator6_disag_type4</vt:lpstr>
      <vt:lpstr>standard_indicator6_disag_type5</vt:lpstr>
      <vt:lpstr>standard_indicator6_disag_type6</vt:lpstr>
      <vt:lpstr>standard_indicator6_disag_type7</vt:lpstr>
      <vt:lpstr>standard_indicator6_disag_type8</vt:lpstr>
      <vt:lpstr>standard_indicator6_disag_type9</vt:lpstr>
      <vt:lpstr>standard_indicator6_disag_value1</vt:lpstr>
      <vt:lpstr>standard_indicator6_disag_value10</vt:lpstr>
      <vt:lpstr>standard_indicator6_disag_value11</vt:lpstr>
      <vt:lpstr>standard_indicator6_disag_value12</vt:lpstr>
      <vt:lpstr>standard_indicator6_disag_value2</vt:lpstr>
      <vt:lpstr>standard_indicator6_disag_value3</vt:lpstr>
      <vt:lpstr>standard_indicator6_disag_value4</vt:lpstr>
      <vt:lpstr>standard_indicator6_disag_value5</vt:lpstr>
      <vt:lpstr>standard_indicator6_disag_value6</vt:lpstr>
      <vt:lpstr>standard_indicator6_disag_value7</vt:lpstr>
      <vt:lpstr>standard_indicator6_disag_value8</vt:lpstr>
      <vt:lpstr>standard_indicator6_disag_value9</vt:lpstr>
      <vt:lpstr>standard_indicator7</vt:lpstr>
      <vt:lpstr>standard_indicator7_disag_type1</vt:lpstr>
      <vt:lpstr>standard_indicator7_disag_type10</vt:lpstr>
      <vt:lpstr>standard_indicator7_disag_type11</vt:lpstr>
      <vt:lpstr>standard_indicator7_disag_type12</vt:lpstr>
      <vt:lpstr>standard_indicator7_disag_type2</vt:lpstr>
      <vt:lpstr>standard_indicator7_disag_type3</vt:lpstr>
      <vt:lpstr>standard_indicator7_disag_type4</vt:lpstr>
      <vt:lpstr>standard_indicator7_disag_type5</vt:lpstr>
      <vt:lpstr>standard_indicator7_disag_type6</vt:lpstr>
      <vt:lpstr>standard_indicator7_disag_type7</vt:lpstr>
      <vt:lpstr>standard_indicator7_disag_type8</vt:lpstr>
      <vt:lpstr>standard_indicator7_disag_type9</vt:lpstr>
      <vt:lpstr>standard_indicator7_disag_value1</vt:lpstr>
      <vt:lpstr>standard_indicator7_disag_value10</vt:lpstr>
      <vt:lpstr>standard_indicator7_disag_value11</vt:lpstr>
      <vt:lpstr>standard_indicator7_disag_value12</vt:lpstr>
      <vt:lpstr>standard_indicator7_disag_value2</vt:lpstr>
      <vt:lpstr>standard_indicator7_disag_value3</vt:lpstr>
      <vt:lpstr>standard_indicator7_disag_value4</vt:lpstr>
      <vt:lpstr>standard_indicator7_disag_value5</vt:lpstr>
      <vt:lpstr>standard_indicator7_disag_value6</vt:lpstr>
      <vt:lpstr>standard_indicator7_disag_value7</vt:lpstr>
      <vt:lpstr>standard_indicator7_disag_value8</vt:lpstr>
      <vt:lpstr>standard_indicator7_disag_value9</vt:lpstr>
      <vt:lpstr>standard_indicator8</vt:lpstr>
      <vt:lpstr>standard_indicator8_disag_type1</vt:lpstr>
      <vt:lpstr>standard_indicator8_disag_type10</vt:lpstr>
      <vt:lpstr>standard_indicator8_disag_type11</vt:lpstr>
      <vt:lpstr>standard_indicator8_disag_type12</vt:lpstr>
      <vt:lpstr>standard_indicator8_disag_type2</vt:lpstr>
      <vt:lpstr>standard_indicator8_disag_type3</vt:lpstr>
      <vt:lpstr>standard_indicator8_disag_type4</vt:lpstr>
      <vt:lpstr>standard_indicator8_disag_type5</vt:lpstr>
      <vt:lpstr>standard_indicator8_disag_type6</vt:lpstr>
      <vt:lpstr>standard_indicator8_disag_type7</vt:lpstr>
      <vt:lpstr>standard_indicator8_disag_type8</vt:lpstr>
      <vt:lpstr>standard_indicator8_disag_type9</vt:lpstr>
      <vt:lpstr>standard_indicator8_disag_value1</vt:lpstr>
      <vt:lpstr>standard_indicator8_disag_value10</vt:lpstr>
      <vt:lpstr>standard_indicator8_disag_value11</vt:lpstr>
      <vt:lpstr>standard_indicator8_disag_value12</vt:lpstr>
      <vt:lpstr>standard_indicator8_disag_value2</vt:lpstr>
      <vt:lpstr>standard_indicator8_disag_value3</vt:lpstr>
      <vt:lpstr>standard_indicator8_disag_value4</vt:lpstr>
      <vt:lpstr>standard_indicator8_disag_value5</vt:lpstr>
      <vt:lpstr>standard_indicator8_disag_value6</vt:lpstr>
      <vt:lpstr>standard_indicator8_disag_value7</vt:lpstr>
      <vt:lpstr>standard_indicator8_disag_value8</vt:lpstr>
      <vt:lpstr>standard_indicator8_disag_value9</vt:lpstr>
      <vt:lpstr>standard_indicator9</vt:lpstr>
      <vt:lpstr>standard_indicator9_disag_type1</vt:lpstr>
      <vt:lpstr>standard_indicator9_disag_type10</vt:lpstr>
      <vt:lpstr>standard_indicator9_disag_type11</vt:lpstr>
      <vt:lpstr>standard_indicator9_disag_type12</vt:lpstr>
      <vt:lpstr>standard_indicator9_disag_type2</vt:lpstr>
      <vt:lpstr>standard_indicator9_disag_type3</vt:lpstr>
      <vt:lpstr>standard_indicator9_disag_type4</vt:lpstr>
      <vt:lpstr>standard_indicator9_disag_type5</vt:lpstr>
      <vt:lpstr>standard_indicator9_disag_type6</vt:lpstr>
      <vt:lpstr>standard_indicator9_disag_type7</vt:lpstr>
      <vt:lpstr>standard_indicator9_disag_type8</vt:lpstr>
      <vt:lpstr>standard_indicator9_disag_type9</vt:lpstr>
      <vt:lpstr>standard_indicator9_disag_value1</vt:lpstr>
      <vt:lpstr>standard_indicator9_disag_value10</vt:lpstr>
      <vt:lpstr>standard_indicator9_disag_value11</vt:lpstr>
      <vt:lpstr>standard_indicator9_disag_value12</vt:lpstr>
      <vt:lpstr>standard_indicator9_disag_value2</vt:lpstr>
      <vt:lpstr>standard_indicator9_disag_value3</vt:lpstr>
      <vt:lpstr>standard_indicator9_disag_value4</vt:lpstr>
      <vt:lpstr>standard_indicator9_disag_value5</vt:lpstr>
      <vt:lpstr>standard_indicator9_disag_value6</vt:lpstr>
      <vt:lpstr>standard_indicator9_disag_value7</vt:lpstr>
      <vt:lpstr>standard_indicator9_disag_value8</vt:lpstr>
      <vt:lpstr>standard_indicator9_disag_value9</vt:lpstr>
      <vt:lpstr>statutory_name1</vt:lpstr>
      <vt:lpstr>statutory_name2</vt:lpstr>
      <vt:lpstr>statutory_position1</vt:lpstr>
      <vt:lpstr>statutory_position2</vt:lpstr>
      <vt:lpstr>sustainability_indicator_current_value1</vt:lpstr>
      <vt:lpstr>sustainability_indicator_current_value10</vt:lpstr>
      <vt:lpstr>sustainability_indicator_current_value2</vt:lpstr>
      <vt:lpstr>sustainability_indicator_current_value3</vt:lpstr>
      <vt:lpstr>sustainability_indicator_current_value4</vt:lpstr>
      <vt:lpstr>sustainability_indicator_current_value5</vt:lpstr>
      <vt:lpstr>sustainability_indicator_current_value6</vt:lpstr>
      <vt:lpstr>sustainability_indicator_current_value7</vt:lpstr>
      <vt:lpstr>sustainability_indicator_current_value8</vt:lpstr>
      <vt:lpstr>sustainability_indicator_current_value9</vt:lpstr>
      <vt:lpstr>sustainability_indicator_remarks1</vt:lpstr>
      <vt:lpstr>sustainability_indicator_remarks10</vt:lpstr>
      <vt:lpstr>sustainability_indicator_remarks2</vt:lpstr>
      <vt:lpstr>sustainability_indicator_remarks3</vt:lpstr>
      <vt:lpstr>sustainability_indicator_remarks4</vt:lpstr>
      <vt:lpstr>sustainability_indicator_remarks5</vt:lpstr>
      <vt:lpstr>sustainability_indicator_remarks6</vt:lpstr>
      <vt:lpstr>sustainability_indicator_remarks7</vt:lpstr>
      <vt:lpstr>sustainability_indicator_remarks8</vt:lpstr>
      <vt:lpstr>sustainability_indicator_remarks9</vt:lpstr>
      <vt:lpstr>sustainability_indicator_target_value1</vt:lpstr>
      <vt:lpstr>sustainability_indicator_target_value10</vt:lpstr>
      <vt:lpstr>sustainability_indicator_target_value2</vt:lpstr>
      <vt:lpstr>sustainability_indicator_target_value3</vt:lpstr>
      <vt:lpstr>sustainability_indicator_target_value4</vt:lpstr>
      <vt:lpstr>sustainability_indicator_target_value5</vt:lpstr>
      <vt:lpstr>sustainability_indicator_target_value6</vt:lpstr>
      <vt:lpstr>sustainability_indicator_target_value7</vt:lpstr>
      <vt:lpstr>sustainability_indicator_target_value8</vt:lpstr>
      <vt:lpstr>sustainability_indicator_target_value9</vt:lpstr>
      <vt:lpstr>sustainability_indicator1</vt:lpstr>
      <vt:lpstr>sustainability_indicator10</vt:lpstr>
      <vt:lpstr>sustainability_indicator2</vt:lpstr>
      <vt:lpstr>sustainability_indicator3</vt:lpstr>
      <vt:lpstr>sustainability_indicator4</vt:lpstr>
      <vt:lpstr>sustainability_indicator5</vt:lpstr>
      <vt:lpstr>sustainability_indicator6</vt:lpstr>
      <vt:lpstr>sustainability_indicator7</vt:lpstr>
      <vt:lpstr>sustainability_indicator8</vt:lpstr>
      <vt:lpstr>sustainability_indicator9</vt:lpstr>
      <vt:lpstr>tenth_reimbursement_date</vt:lpstr>
      <vt:lpstr>tenth_reimbursement_partner1</vt:lpstr>
      <vt:lpstr>tenth_reimbursement_partner2</vt:lpstr>
      <vt:lpstr>tenth_reimbursement_partner3</vt:lpstr>
      <vt:lpstr>tenth_reimbursement_partner4</vt:lpstr>
      <vt:lpstr>tenth_reimbursement_promoter</vt:lpstr>
      <vt:lpstr>tenth_reimbursement_total</vt:lpstr>
      <vt:lpstr>third_extraordinary_payment_date</vt:lpstr>
      <vt:lpstr>third_extraordinary_payment_partner1</vt:lpstr>
      <vt:lpstr>third_extraordinary_payment_partner2</vt:lpstr>
      <vt:lpstr>third_extraordinary_payment_partner3</vt:lpstr>
      <vt:lpstr>third_extraordinary_payment_partner4</vt:lpstr>
      <vt:lpstr>third_extraordinary_payment_promoter</vt:lpstr>
      <vt:lpstr>third_extraordinary_payment_total</vt:lpstr>
      <vt:lpstr>third_interim_payment_date</vt:lpstr>
      <vt:lpstr>third_interim_payment_partner1</vt:lpstr>
      <vt:lpstr>third_interim_payment_partner2</vt:lpstr>
      <vt:lpstr>third_interim_payment_partner3</vt:lpstr>
      <vt:lpstr>third_interim_payment_partner4</vt:lpstr>
      <vt:lpstr>third_interim_payment_promoter</vt:lpstr>
      <vt:lpstr>third_interim_payment_total</vt:lpstr>
      <vt:lpstr>third_reimbursement_date</vt:lpstr>
      <vt:lpstr>third_reimbursement_partner1</vt:lpstr>
      <vt:lpstr>third_reimbursement_partner2</vt:lpstr>
      <vt:lpstr>third_reimbursement_partner3</vt:lpstr>
      <vt:lpstr>third_reimbursement_partner4</vt:lpstr>
      <vt:lpstr>third_reimbursement_promoter</vt:lpstr>
      <vt:lpstr>third_reimbursement_total</vt:lpstr>
      <vt:lpstr>total_amount_paid_if_approved</vt:lpstr>
      <vt:lpstr>total_costs_claimed_applicant</vt:lpstr>
      <vt:lpstr>total_costs_claimed_eligible_applicant</vt:lpstr>
      <vt:lpstr>total_costs_claimed_eligible_partner1</vt:lpstr>
      <vt:lpstr>total_costs_claimed_eligible_partner2</vt:lpstr>
      <vt:lpstr>total_costs_claimed_eligible_partner3</vt:lpstr>
      <vt:lpstr>total_costs_claimed_eligible_partner4</vt:lpstr>
      <vt:lpstr>total_costs_claimed_eligible_total</vt:lpstr>
      <vt:lpstr>total_costs_claimed_partner1</vt:lpstr>
      <vt:lpstr>total_costs_claimed_partner2</vt:lpstr>
      <vt:lpstr>total_costs_claimed_partner3</vt:lpstr>
      <vt:lpstr>total_costs_claimed_partner4</vt:lpstr>
      <vt:lpstr>total_costs_claimed_total</vt:lpstr>
      <vt:lpstr>total_eligible_cash_expenditure_applicant</vt:lpstr>
      <vt:lpstr>total_eligible_cash_expenditure_partner1</vt:lpstr>
      <vt:lpstr>total_eligible_cash_expenditure_partner2</vt:lpstr>
      <vt:lpstr>total_eligible_cash_expenditure_partner3</vt:lpstr>
      <vt:lpstr>total_eligible_cash_expenditure_partner4</vt:lpstr>
      <vt:lpstr>total_eligible_cash_expenditure_total</vt:lpstr>
      <vt:lpstr>total_eligible_expenditure_applicant</vt:lpstr>
      <vt:lpstr>total_eligible_expenditure_partner1</vt:lpstr>
      <vt:lpstr>total_eligible_expenditure_partner2</vt:lpstr>
      <vt:lpstr>total_eligible_expenditure_partner3</vt:lpstr>
      <vt:lpstr>total_eligible_expenditure_partner4</vt:lpstr>
      <vt:lpstr>total_eligible_expenditure_total</vt:lpstr>
      <vt:lpstr>total_share_of_payments_if_paid</vt:lpstr>
      <vt:lpstr>transparency_anticorruption_contribution</vt:lpstr>
      <vt:lpstr>transparency_anticorruption_remarks</vt:lpstr>
      <vt:lpstr>types_of_expenditure</vt:lpstr>
      <vt:lpstr>unit_costs_column</vt:lpstr>
      <vt:lpstr>VSP_End</vt:lpstr>
      <vt:lpstr>VSP_Start</vt:lpstr>
      <vt:lpstr>ZSP_end</vt:lpstr>
    </vt:vector>
  </TitlesOfParts>
  <Company>UVSR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Strizenec Boris</dc:creator>
  <cp:lastModifiedBy>Strizenec Boris</cp:lastModifiedBy>
  <cp:lastPrinted>2019-12-23T13:44:42Z</cp:lastPrinted>
  <dcterms:created xsi:type="dcterms:W3CDTF">2013-08-30T08:24:39Z</dcterms:created>
  <dcterms:modified xsi:type="dcterms:W3CDTF">2020-10-20T08:59:45Z</dcterms:modified>
</cp:coreProperties>
</file>