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bookViews>
    <workbookView xWindow="2280" yWindow="645" windowWidth="13905" windowHeight="10905" activeTab="3"/>
  </bookViews>
  <sheets>
    <sheet name="Ziadatel" sheetId="1" r:id="rId1"/>
    <sheet name="Rozpocet" sheetId="12" r:id="rId2"/>
    <sheet name="Prehlad" sheetId="28" r:id="rId3"/>
    <sheet name="Lists" sheetId="27" r:id="rId4"/>
    <sheet name="Errors" sheetId="29" state="hidden" r:id="rId5"/>
  </sheets>
  <definedNames>
    <definedName name="_xlnm._FilterDatabase" localSheetId="1" hidden="1">Rozpocet!$B$9:$K$109</definedName>
    <definedName name="academic_discipline">Ziadatel!$G$511</definedName>
    <definedName name="academic_field">Ziadatel!$G$509</definedName>
    <definedName name="academic_fields">Lists!$BL$2:$BL$7</definedName>
    <definedName name="academic_fields_table">Lists!$BL$2:$BM$7</definedName>
    <definedName name="Activities_Column">Rozpocet!$H$10:$H$109</definedName>
    <definedName name="Activities_Validation_List">OFFSET(Prehlad!$J$13,0,0,SUMPRODUCT(--(LEN(List_Of_Activities)&gt;2)),1)</definedName>
    <definedName name="activity1_applicant">Prehlad!$C$51</definedName>
    <definedName name="Activity1_Name">Ziadatel!$C$218</definedName>
    <definedName name="activity1_partner1">Prehlad!$D$51</definedName>
    <definedName name="activity1_partner2">Prehlad!$E$51</definedName>
    <definedName name="activity1_partner3">Prehlad!$F$51</definedName>
    <definedName name="activity1_partner4">Prehlad!$G$51</definedName>
    <definedName name="activity1_title">Ziadatel!$D$218</definedName>
    <definedName name="activity1_total">Prehlad!$H$51</definedName>
    <definedName name="activity2_applicant">Prehlad!$C$52</definedName>
    <definedName name="Activity2_Name">Ziadatel!$C$244</definedName>
    <definedName name="activity2_partner1">Prehlad!$D$52</definedName>
    <definedName name="activity2_partner2">Prehlad!$E$52</definedName>
    <definedName name="activity2_partner3">Prehlad!$F$52</definedName>
    <definedName name="activity2_partner4">Prehlad!$G$52</definedName>
    <definedName name="activity2_total">Prehlad!$H$52</definedName>
    <definedName name="activity3_applicant">Prehlad!$C$53</definedName>
    <definedName name="Activity3_Name">Ziadatel!$C$271</definedName>
    <definedName name="activity3_partner1">Prehlad!$D$53</definedName>
    <definedName name="activity3_partner2">Prehlad!$E$53</definedName>
    <definedName name="activity3_partner3">Prehlad!$F$53</definedName>
    <definedName name="activity3_partner4">Prehlad!$G$53</definedName>
    <definedName name="activity3_total">Prehlad!$H$53</definedName>
    <definedName name="activity4_applicant">Prehlad!$C$54</definedName>
    <definedName name="Activity4_Name">Ziadatel!$C$297</definedName>
    <definedName name="activity4_partner1">Prehlad!$D$54</definedName>
    <definedName name="activity4_partner2">Prehlad!$E$54</definedName>
    <definedName name="activity4_partner3">Prehlad!$F$54</definedName>
    <definedName name="activity4_partner4">Prehlad!$G$54</definedName>
    <definedName name="activity4_total">Prehlad!$H$54</definedName>
    <definedName name="activity5_applicant">Prehlad!$C$55</definedName>
    <definedName name="Activity5_Name">Ziadatel!$C$326</definedName>
    <definedName name="activity5_partner1">Prehlad!$D$55</definedName>
    <definedName name="activity5_partner2">Prehlad!$E$55</definedName>
    <definedName name="activity5_partner3">Prehlad!$F$55</definedName>
    <definedName name="activity5_partner4">Prehlad!$G$55</definedName>
    <definedName name="activity5_total">Prehlad!$H$55</definedName>
    <definedName name="activity6_applicant">Prehlad!$C$56</definedName>
    <definedName name="Activity6_Name">Ziadatel!$C$352</definedName>
    <definedName name="activity6_partner1">Prehlad!$D$56</definedName>
    <definedName name="activity6_partner2">Prehlad!$E$56</definedName>
    <definedName name="activity6_partner3">Prehlad!$F$56</definedName>
    <definedName name="activity6_partner4">Prehlad!$G$56</definedName>
    <definedName name="activity6_total">Prehlad!$H$56</definedName>
    <definedName name="activity7_applicant">Prehlad!$C$57</definedName>
    <definedName name="Activity7_Name">Ziadatel!$C$381</definedName>
    <definedName name="activity7_partner1">Prehlad!$D$57</definedName>
    <definedName name="activity7_partner2">Prehlad!$E$57</definedName>
    <definedName name="activity7_partner3">Prehlad!$F$57</definedName>
    <definedName name="activity7_partner4">Prehlad!$G$57</definedName>
    <definedName name="activity7_total">Prehlad!$H$57</definedName>
    <definedName name="activity8_applicant">Prehlad!$C$58</definedName>
    <definedName name="Activity8_Name">Ziadatel!$C$407</definedName>
    <definedName name="activity8_partner1">Prehlad!$D$58</definedName>
    <definedName name="activity8_partner2">Prehlad!$E$58</definedName>
    <definedName name="activity8_partner3">Prehlad!$F$58</definedName>
    <definedName name="activity8_partner4">Prehlad!$G$58</definedName>
    <definedName name="activity8_total">Prehlad!$H$58</definedName>
    <definedName name="actual_in_kind_percentage">Ziadatel!$K$700</definedName>
    <definedName name="advance_applicant">Ziadatel!$F$688</definedName>
    <definedName name="advance_partner1">Ziadatel!$G$688</definedName>
    <definedName name="advance_partner2">Ziadatel!$H$688</definedName>
    <definedName name="advance_partner3">Ziadatel!$I$688</definedName>
    <definedName name="advance_partner4">Ziadatel!$J$688</definedName>
    <definedName name="advance_total">Ziadatel!$K$688</definedName>
    <definedName name="agriculture_fields">Lists!$BN$29:$BN$33</definedName>
    <definedName name="amount_activity1">Prehlad!$H$14</definedName>
    <definedName name="amount_activity2">Prehlad!$H$15</definedName>
    <definedName name="amount_activity3">Prehlad!$H$16</definedName>
    <definedName name="amount_activity4">Prehlad!$H$17</definedName>
    <definedName name="amount_activity5">Prehlad!$H$18</definedName>
    <definedName name="amount_activity6">Prehlad!$H$19</definedName>
    <definedName name="amount_activity7">Prehlad!$H$20</definedName>
    <definedName name="amount_activity8">Prehlad!$H$21</definedName>
    <definedName name="amount_budget_heading1">Prehlad!$H$29</definedName>
    <definedName name="amount_budget_heading10">Prehlad!$H$38</definedName>
    <definedName name="amount_budget_heading11">Prehlad!$H$39</definedName>
    <definedName name="amount_budget_heading12">Prehlad!$H$40</definedName>
    <definedName name="amount_budget_heading2">Prehlad!$H$30</definedName>
    <definedName name="amount_budget_heading3">Prehlad!$H$31</definedName>
    <definedName name="amount_budget_heading4">Prehlad!$H$32</definedName>
    <definedName name="amount_budget_heading5">Prehlad!$H$33</definedName>
    <definedName name="amount_budget_heading6">Prehlad!$H$34</definedName>
    <definedName name="amount_budget_heading7">Prehlad!$H$35</definedName>
    <definedName name="amount_budget_heading8">Prehlad!$H$36</definedName>
    <definedName name="amount_budget_heading9">Prehlad!$H$37</definedName>
    <definedName name="Amount_Column">Rozpocet!$F$10:$F$109</definedName>
    <definedName name="amount_consumables">Prehlad!$K$67</definedName>
    <definedName name="amount_contract_related_costs">Prehlad!$K$69</definedName>
    <definedName name="amount_equipment">Prehlad!$K$65</definedName>
    <definedName name="amount_indirect_costs">Prehlad!$H$7</definedName>
    <definedName name="amount_other_costs">Prehlad!$K$68</definedName>
    <definedName name="amount_output1">Prehlad!$H$3</definedName>
    <definedName name="amount_output2">Prehlad!$H$4</definedName>
    <definedName name="amount_output3">Prehlad!$H$5</definedName>
    <definedName name="amount_project_management">Prehlad!$H$2</definedName>
    <definedName name="amount_project_management_output">Prehlad!$H$13</definedName>
    <definedName name="amount_real_estate">Prehlad!$K$66</definedName>
    <definedName name="amount_staff_costs">Prehlad!$K$63</definedName>
    <definedName name="amount_travel_costs">Prehlad!$K$64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Ziadatel!$F$39</definedName>
    <definedName name="another_district2">Ziadatel!$F$41</definedName>
    <definedName name="another_district3">Ziadatel!$F$43</definedName>
    <definedName name="applicant_name">Ziadatel!$D$66</definedName>
    <definedName name="applicant_web">Ziadatel!$D$92</definedName>
    <definedName name="application_version">Ziadatel!$E$3</definedName>
    <definedName name="bilateral_capacity_building">Ziadatel!$I$660</definedName>
    <definedName name="bilateral_common_challenges">Ziadatel!$I$661</definedName>
    <definedName name="bilateral_estab_by_DPP">Ziadatel!$I$670</definedName>
    <definedName name="bilateral_estab_database">Ziadatel!$I$671</definedName>
    <definedName name="bilateral_estab_independent">Ziadatel!$I$673</definedName>
    <definedName name="bilateral_estab_matchmaking">Ziadatel!$I$668</definedName>
    <definedName name="bilateral_estab_other">Ziadatel!$E$674</definedName>
    <definedName name="bilateral_estab_previous_cooperation">Ziadatel!$I$667</definedName>
    <definedName name="bilateral_estab_programme_operator">Ziadatel!$I$669</definedName>
    <definedName name="bilateral_event_attendance">Ziadatel!$I$658</definedName>
    <definedName name="bilateral_event_inputs">Ziadatel!$I$659</definedName>
    <definedName name="bilateral_indicator_baseline1">Ziadatel!$G$457</definedName>
    <definedName name="bilateral_indicator_baseline2">Ziadatel!$G$458</definedName>
    <definedName name="bilateral_indicator_baseline3">Ziadatel!$G$459</definedName>
    <definedName name="bilateral_indicator_baseline4">Ziadatel!$G$460</definedName>
    <definedName name="bilateral_indicator_baseline5">Ziadatel!$G$461</definedName>
    <definedName name="bilateral_indicator_baseline6">Ziadatel!$G$462</definedName>
    <definedName name="bilateral_indicator_baseline7">Ziadatel!$G$463</definedName>
    <definedName name="bilateral_indicator_baseline8">Ziadatel!$G$464</definedName>
    <definedName name="bilateral_indicator_code1">Ziadatel!$L$457</definedName>
    <definedName name="bilateral_indicator_code2">Ziadatel!$L$458</definedName>
    <definedName name="bilateral_indicator_code3">Ziadatel!$L$459</definedName>
    <definedName name="bilateral_indicator_code4">Ziadatel!$L$460</definedName>
    <definedName name="bilateral_indicator_code5">Ziadatel!$L$461</definedName>
    <definedName name="bilateral_indicator_code6">Ziadatel!$L$462</definedName>
    <definedName name="bilateral_indicator_code7">Ziadatel!$L$463</definedName>
    <definedName name="bilateral_indicator_code8">Ziadatel!$L$464</definedName>
    <definedName name="bilateral_indicator_level1">Ziadatel!$F$457</definedName>
    <definedName name="bilateral_indicator_level2">Ziadatel!$F$458</definedName>
    <definedName name="bilateral_indicator_level3">Ziadatel!$F$459</definedName>
    <definedName name="bilateral_indicator_level4">Ziadatel!$F$460</definedName>
    <definedName name="bilateral_indicator_level5">Ziadatel!$F$461</definedName>
    <definedName name="bilateral_indicator_level6">Ziadatel!$F$462</definedName>
    <definedName name="bilateral_indicator_level7">Ziadatel!$F$463</definedName>
    <definedName name="bilateral_indicator_level8">Ziadatel!$F$464</definedName>
    <definedName name="bilateral_indicator_measurement1">Ziadatel!$I$457</definedName>
    <definedName name="bilateral_indicator_measurement2">Ziadatel!$I$458</definedName>
    <definedName name="bilateral_indicator_measurement3">Ziadatel!$I$459</definedName>
    <definedName name="bilateral_indicator_measurement4">Ziadatel!$I$460</definedName>
    <definedName name="bilateral_indicator_measurement5">Ziadatel!$I$461</definedName>
    <definedName name="bilateral_indicator_measurement6">Ziadatel!$I$462</definedName>
    <definedName name="bilateral_indicator_measurement7">Ziadatel!$I$463</definedName>
    <definedName name="bilateral_indicator_measurement8">Ziadatel!$I$464</definedName>
    <definedName name="bilateral_indicator_target1">Ziadatel!$H$457</definedName>
    <definedName name="bilateral_indicator_target2">Ziadatel!$H$458</definedName>
    <definedName name="bilateral_indicator_target3">Ziadatel!$H$459</definedName>
    <definedName name="bilateral_indicator_target4">Ziadatel!$H$460</definedName>
    <definedName name="bilateral_indicator_target5">Ziadatel!$H$461</definedName>
    <definedName name="bilateral_indicator_target6">Ziadatel!$H$462</definedName>
    <definedName name="bilateral_indicator_target7">Ziadatel!$H$463</definedName>
    <definedName name="bilateral_indicator_target8">Ziadatel!$H$464</definedName>
    <definedName name="bilateral_indicator_type1">Ziadatel!$E$457</definedName>
    <definedName name="bilateral_indicator_type2">Ziadatel!$E$458</definedName>
    <definedName name="bilateral_indicator_type3">Ziadatel!$E$459</definedName>
    <definedName name="bilateral_indicator_type4">Ziadatel!$E$460</definedName>
    <definedName name="bilateral_indicator_type5">Ziadatel!$E$461</definedName>
    <definedName name="bilateral_indicator_type6">Ziadatel!$E$462</definedName>
    <definedName name="bilateral_indicator_type7">Ziadatel!$E$463</definedName>
    <definedName name="bilateral_indicator_type8">Ziadatel!$E$464</definedName>
    <definedName name="bilateral_indicator1">Ziadatel!$C$457</definedName>
    <definedName name="bilateral_indicator2">Ziadatel!$C$458</definedName>
    <definedName name="bilateral_indicator3">Ziadatel!$C$459</definedName>
    <definedName name="bilateral_indicator4">Ziadatel!$C$460</definedName>
    <definedName name="bilateral_indicator5">Ziadatel!$C$461</definedName>
    <definedName name="bilateral_indicator6">Ziadatel!$C$462</definedName>
    <definedName name="bilateral_indicator7">Ziadatel!$C$463</definedName>
    <definedName name="bilateral_indicator8">Ziadatel!$C$464</definedName>
    <definedName name="bilateral_involvement_other">Ziadatel!$E$662</definedName>
    <definedName name="blateral_estab_embassy">Ziadatel!$I$672</definedName>
    <definedName name="Budget_Headings">Lists!$S$2:$S$13</definedName>
    <definedName name="Budget_Headings_Column">Rozpocet!$I$10:$I$109</definedName>
    <definedName name="budget_table">Rozpocet!$A$9:$K$109</definedName>
    <definedName name="budget_table_GOL">Rozpocet!$A$9:$J$109</definedName>
    <definedName name="Business">Lists!$N$86:$N$90</definedName>
    <definedName name="call_code">Ziadatel!$K$3</definedName>
    <definedName name="call_codes">Lists!$BG$2:$BG$42</definedName>
    <definedName name="cash_cofinancing_applicant">Ziadatel!$F$687</definedName>
    <definedName name="cash_cofinancing_partner1">Ziadatel!$G$687</definedName>
    <definedName name="cash_cofinancing_partner2">Ziadatel!$H$687</definedName>
    <definedName name="cash_cofinancing_partner3">Ziadatel!$I$687</definedName>
    <definedName name="cash_cofinancing_partner4">Ziadatel!$J$687</definedName>
    <definedName name="cash_cofinancing_total">Ziadatel!$K$687</definedName>
    <definedName name="CLT_OTC_bilateral">Lists!$AL$9</definedName>
    <definedName name="CLT_OTC1">Lists!$AL$3:$AL$4</definedName>
    <definedName name="CLT_OTC2">Lists!$AL$6:$AL$7</definedName>
    <definedName name="consultant_name1">Ziadatel!$D$946</definedName>
    <definedName name="consultant_name2">Ziadatel!$D$947</definedName>
    <definedName name="consultant_name3">Ziadatel!$D$948</definedName>
    <definedName name="consultant_name4">Ziadatel!$D$949</definedName>
    <definedName name="consultant_name5">Ziadatel!$D$950</definedName>
    <definedName name="consultant_name6">Ziadatel!$D$951</definedName>
    <definedName name="consultant_name7">Ziadatel!$D$952</definedName>
    <definedName name="consultant_name8">Ziadatel!$D$953</definedName>
    <definedName name="consultant_organisation1">Ziadatel!$I$946</definedName>
    <definedName name="consultant_organisation2">Ziadatel!$I$947</definedName>
    <definedName name="consultant_organisation3">Ziadatel!$I$948</definedName>
    <definedName name="consultant_organisation4">Ziadatel!$I$949</definedName>
    <definedName name="consultant_organisation5">Ziadatel!$I$950</definedName>
    <definedName name="consultant_organisation6">Ziadatel!$I$951</definedName>
    <definedName name="consultant_organisation7">Ziadatel!$I$952</definedName>
    <definedName name="consultant_organisation8">Ziadatel!$I$953</definedName>
    <definedName name="consultant_position1">Ziadatel!$F$946</definedName>
    <definedName name="consultant_position2">Ziadatel!$F$947</definedName>
    <definedName name="consultant_position3">Ziadatel!$F$948</definedName>
    <definedName name="consultant_position4">Ziadatel!$F$949</definedName>
    <definedName name="consultant_position5">Ziadatel!$F$950</definedName>
    <definedName name="consultant_position6">Ziadatel!$F$951</definedName>
    <definedName name="consultant_position7">Ziadatel!$F$952</definedName>
    <definedName name="consultant_position8">Ziadatel!$F$953</definedName>
    <definedName name="Countries">Lists!$U$2:$U$34</definedName>
    <definedName name="cp_cell_phone">Ziadatel!$E$105</definedName>
    <definedName name="cp_cell_phone_prefix">Ziadatel!$D$105</definedName>
    <definedName name="cp_email">Ziadatel!$D$100</definedName>
    <definedName name="cp_first_name">Ziadatel!$E$96</definedName>
    <definedName name="cp_last_name">Ziadatel!$H$96</definedName>
    <definedName name="cp_phone">Ziadatel!$E$103</definedName>
    <definedName name="cp_phone_prefix">Ziadatel!$D$103</definedName>
    <definedName name="cp_position">Ziadatel!$D$98</definedName>
    <definedName name="cp_title">Ziadatel!$D$96</definedName>
    <definedName name="DGV_OTC_bilateral">Lists!$AL$34</definedName>
    <definedName name="DGV_OTC1">Lists!$AL$23</definedName>
    <definedName name="DGV_OTC2">Lists!$AL$25:$AL$27</definedName>
    <definedName name="DGV_OTC3">Lists!$AL$29:$AL$32</definedName>
    <definedName name="direct_costs_applicant">Ziadatel!$F$682</definedName>
    <definedName name="Direct_Costs_Column">Rozpocet!$F$10:$F$109</definedName>
    <definedName name="direct_costs_partner1">Ziadatel!$G$682</definedName>
    <definedName name="direct_costs_partner2">Ziadatel!$H$682</definedName>
    <definedName name="direct_costs_partner3">Ziadatel!$I$682</definedName>
    <definedName name="direct_costs_partner4">Ziadatel!$J$682</definedName>
    <definedName name="direct_costs_total">Ziadatel!$K$682</definedName>
    <definedName name="district">Ziadatel!$F$37</definedName>
    <definedName name="district_seat">Ziadatel!$F$49</definedName>
    <definedName name="duration_calculation">IFERROR(SUBSTITUTE(SUBSTITUTE(Ziadatel!$K1,"do ",""), " mesiacov", "")-SUBSTITUTE(SUBSTITUTE(Ziadatel!$J1,"do ",""), " mesiacov", ""),"")</definedName>
    <definedName name="Education">Lists!$N$3:$N$12</definedName>
    <definedName name="Energy">Lists!$N$73:$N$84</definedName>
    <definedName name="engineering_field">Lists!$BN$11:$BN$21</definedName>
    <definedName name="Entities">Lists!$T$2:$T$6</definedName>
    <definedName name="Entities_Validation_List">OFFSET(Prehlad!$C$48,0,0,1,SUMPRODUCT(--(LEN(List_Of_Entities)&gt;0)))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Rozpocet!$B$10:$B$109</definedName>
    <definedName name="financial_mechanisms_contribution">Ziadatel!$K$701</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Ziadatel!$F$689</definedName>
    <definedName name="grant_requested_partner1">Ziadatel!$G$689</definedName>
    <definedName name="grant_requested_partner2">Ziadatel!$H$689</definedName>
    <definedName name="grant_requested_partner3">Ziadatel!$I$689</definedName>
    <definedName name="grant_requested_partner4">Ziadatel!$J$689</definedName>
    <definedName name="grant_requested_total">Ziadatel!$K$689</definedName>
    <definedName name="grants_requested_table">Lists!$BG$2:$BI$42</definedName>
    <definedName name="Health">Lists!$N$14:$N$29</definedName>
    <definedName name="humanities_fields">Lists!$BN$45:$BN$49</definedName>
    <definedName name="churches_verification_title">Lists!$H$17</definedName>
    <definedName name="Implemented_By_Column">Rozpocet!$J$10:$J$109</definedName>
    <definedName name="in_kind_applicant">Ziadatel!$F$686</definedName>
    <definedName name="in_kind_call_limit">Lists!$BP$2</definedName>
    <definedName name="in_kind_maximum_eur">Ziadatel!$K$699</definedName>
    <definedName name="in_kind_partner1">Ziadatel!$G$686</definedName>
    <definedName name="in_kind_partner2">Ziadatel!$H$686</definedName>
    <definedName name="in_kind_partner3">Ziadatel!$I$686</definedName>
    <definedName name="in_kind_partner4">Ziadatel!$J$686</definedName>
    <definedName name="in_kind_total">Ziadatel!$K$686</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Lists!$AM$125:$AV$132</definedName>
    <definedName name="indicators_LDI_OTC2">Lists!$AM$134:$AM$144</definedName>
    <definedName name="indicators_LDI_OTC2_table">Lists!$AM$134:$AV$144</definedName>
    <definedName name="indicators_LDI_OTC3">Lists!$AM$146:$AM$153</definedName>
    <definedName name="indicators_LDI_OTC3_table">Lists!$AM$146:$AV$153</definedName>
    <definedName name="indicators_LDI_OTCB">Lists!$AM$155:$AM$159</definedName>
    <definedName name="indicators_LDI_OTCB_table">Lists!$AM$155:$AV$159</definedName>
    <definedName name="indirect_costs_applicant">Ziadatel!$F$683</definedName>
    <definedName name="indirect_costs_method_applicant">Ziadatel!$F$684</definedName>
    <definedName name="indirect_costs_method_partner1">Ziadatel!$G$684</definedName>
    <definedName name="indirect_costs_method_partner2">Ziadatel!$H$684</definedName>
    <definedName name="indirect_costs_method_partner3">Ziadatel!$I$684</definedName>
    <definedName name="indirect_costs_method_partner4">Ziadatel!$J$684</definedName>
    <definedName name="indirect_costs_methods">Lists!$BJ$2:$BJ$6</definedName>
    <definedName name="indirect_costs_partner1">Ziadatel!$G$683</definedName>
    <definedName name="indirect_costs_partner2">Ziadatel!$H$683</definedName>
    <definedName name="indirect_costs_partner3">Ziadatel!$I$683</definedName>
    <definedName name="indirect_costs_partner4">Ziadatel!$J$683</definedName>
    <definedName name="indirect_costs_share_on_staff_costs">Ziadatel!$K$692</definedName>
    <definedName name="indirect_costs_total">Ziadatel!$K$683</definedName>
    <definedName name="infrastructure_costs_total">Prehlad!$J$29</definedName>
    <definedName name="Intergov">Lists!$G$9</definedName>
    <definedName name="Intergov1">Lists!$H$11</definedName>
    <definedName name="investments_included">Ziadatel!$J$873</definedName>
    <definedName name="LDI_OTC1">Lists!$AL$36</definedName>
    <definedName name="LDI_OTC2">Lists!$AL$38:$AL$39</definedName>
    <definedName name="LDI_OTC3">Lists!$AL$41</definedName>
    <definedName name="LDI_OTCB">Lists!$AL$43</definedName>
    <definedName name="List_Of_Activities">Prehlad!$B$13:$B$21</definedName>
    <definedName name="list_of_activities_filtered">Prehlad!$J$13:$J$21</definedName>
    <definedName name="list_of_activities_table">Prehlad!$A$13:$B$21</definedName>
    <definedName name="List_Of_Entities">Prehlad!$C$49:$G$49</definedName>
    <definedName name="maximum_grant_rate">Ziadatel!$K$694</definedName>
    <definedName name="maximum_in_kind_percentage">Ziadatel!$K$698</definedName>
    <definedName name="maximum_project_grant_requested">Ziadatel!$K$696</definedName>
    <definedName name="maximum_reserve">Ziadatel!$K$697</definedName>
    <definedName name="measures_advocacy">Ziadatel!$I$498</definedName>
    <definedName name="measures_awareness_raising">Ziadatel!$I$497</definedName>
    <definedName name="measures_capacity_building">Ziadatel!$I$501</definedName>
    <definedName name="measures_education">Ziadatel!$I$502</definedName>
    <definedName name="measures_infrastructure">Ziadatel!$I$500</definedName>
    <definedName name="measures_research">Ziadatel!$I$499</definedName>
    <definedName name="measures_services_provision">Ziadatel!$I$503</definedName>
    <definedName name="medical_fields">Lists!$BN$23:$BN$27</definedName>
    <definedName name="Migration">Lists!$N$127</definedName>
    <definedName name="milestone_activity_relation1">Ziadatel!$G$711</definedName>
    <definedName name="milestone_activity_relation10">Ziadatel!$G$720</definedName>
    <definedName name="milestone_activity_relation11">Ziadatel!$G$721</definedName>
    <definedName name="milestone_activity_relation12">Ziadatel!$G$722</definedName>
    <definedName name="milestone_activity_relation13">Ziadatel!$G$723</definedName>
    <definedName name="milestone_activity_relation14">Ziadatel!$G$724</definedName>
    <definedName name="milestone_activity_relation15">Ziadatel!$G$725</definedName>
    <definedName name="milestone_activity_relation16">Ziadatel!$G$726</definedName>
    <definedName name="milestone_activity_relation17">Ziadatel!$G$727</definedName>
    <definedName name="milestone_activity_relation18">Ziadatel!$G$728</definedName>
    <definedName name="milestone_activity_relation19">Ziadatel!$G$729</definedName>
    <definedName name="milestone_activity_relation2">Ziadatel!$G$712</definedName>
    <definedName name="milestone_activity_relation20">Ziadatel!$G$730</definedName>
    <definedName name="milestone_activity_relation21">Ziadatel!$G$731</definedName>
    <definedName name="milestone_activity_relation22">Ziadatel!$G$732</definedName>
    <definedName name="milestone_activity_relation23">Ziadatel!$G$733</definedName>
    <definedName name="milestone_activity_relation24">Ziadatel!$G$734</definedName>
    <definedName name="milestone_activity_relation25">Ziadatel!$G$735</definedName>
    <definedName name="milestone_activity_relation26">Ziadatel!$G$736</definedName>
    <definedName name="milestone_activity_relation27">Ziadatel!$G$737</definedName>
    <definedName name="milestone_activity_relation28">Ziadatel!$G$738</definedName>
    <definedName name="milestone_activity_relation29">Ziadatel!$G$739</definedName>
    <definedName name="milestone_activity_relation3">Ziadatel!$G$713</definedName>
    <definedName name="milestone_activity_relation30">Ziadatel!$G$740</definedName>
    <definedName name="milestone_activity_relation31">Ziadatel!$G$741</definedName>
    <definedName name="milestone_activity_relation32">Ziadatel!$G$742</definedName>
    <definedName name="milestone_activity_relation33">Ziadatel!$G$743</definedName>
    <definedName name="milestone_activity_relation34">Ziadatel!$G$744</definedName>
    <definedName name="milestone_activity_relation35">Ziadatel!$G$745</definedName>
    <definedName name="milestone_activity_relation36">Ziadatel!$G$746</definedName>
    <definedName name="milestone_activity_relation37">Ziadatel!$G$747</definedName>
    <definedName name="milestone_activity_relation38">Ziadatel!$G$748</definedName>
    <definedName name="milestone_activity_relation39">Ziadatel!$G$749</definedName>
    <definedName name="milestone_activity_relation4">Ziadatel!$G$714</definedName>
    <definedName name="milestone_activity_relation40">Ziadatel!$G$750</definedName>
    <definedName name="milestone_activity_relation5">Ziadatel!$G$715</definedName>
    <definedName name="milestone_activity_relation6">Ziadatel!$G$716</definedName>
    <definedName name="milestone_activity_relation7">Ziadatel!$G$717</definedName>
    <definedName name="milestone_activity_relation8">Ziadatel!$G$718</definedName>
    <definedName name="milestone_activity_relation9">Ziadatel!$G$719</definedName>
    <definedName name="milestone_classification1">Ziadatel!$H$711</definedName>
    <definedName name="milestone_classification10">Ziadatel!$H$720</definedName>
    <definedName name="milestone_classification11">Ziadatel!$H$721</definedName>
    <definedName name="milestone_classification12">Ziadatel!$H$722</definedName>
    <definedName name="milestone_classification13">Ziadatel!$H$723</definedName>
    <definedName name="milestone_classification14">Ziadatel!$H$724</definedName>
    <definedName name="milestone_classification15">Ziadatel!$H$725</definedName>
    <definedName name="milestone_classification16">Ziadatel!$H$726</definedName>
    <definedName name="milestone_classification17">Ziadatel!$H$727</definedName>
    <definedName name="milestone_classification18">Ziadatel!$H$728</definedName>
    <definedName name="milestone_classification19">Ziadatel!$H$729</definedName>
    <definedName name="milestone_classification2">Ziadatel!$H$712</definedName>
    <definedName name="milestone_classification20">Ziadatel!$H$730</definedName>
    <definedName name="milestone_classification21">Ziadatel!$H$731</definedName>
    <definedName name="milestone_classification22">Ziadatel!$H$732</definedName>
    <definedName name="milestone_classification23">Ziadatel!$H$733</definedName>
    <definedName name="milestone_classification24">Ziadatel!$H$734</definedName>
    <definedName name="milestone_classification25">Ziadatel!$H$735</definedName>
    <definedName name="milestone_classification26">Ziadatel!$H$736</definedName>
    <definedName name="milestone_classification27">Ziadatel!$H$737</definedName>
    <definedName name="milestone_classification28">Ziadatel!$H$738</definedName>
    <definedName name="milestone_classification29">Ziadatel!$H$739</definedName>
    <definedName name="milestone_classification3">Ziadatel!$H$713</definedName>
    <definedName name="milestone_classification30">Ziadatel!$H$740</definedName>
    <definedName name="milestone_classification31">Ziadatel!$H$741</definedName>
    <definedName name="milestone_classification32">Ziadatel!$H$742</definedName>
    <definedName name="milestone_classification33">Ziadatel!$H$743</definedName>
    <definedName name="milestone_classification34">Ziadatel!$H$744</definedName>
    <definedName name="milestone_classification35">Ziadatel!$H$745</definedName>
    <definedName name="milestone_classification36">Ziadatel!$H$746</definedName>
    <definedName name="milestone_classification37">Ziadatel!$H$747</definedName>
    <definedName name="milestone_classification38">Ziadatel!$H$748</definedName>
    <definedName name="milestone_classification39">Ziadatel!$H$749</definedName>
    <definedName name="milestone_classification4">Ziadatel!$H$714</definedName>
    <definedName name="milestone_classification40">Ziadatel!$H$750</definedName>
    <definedName name="milestone_classification5">Ziadatel!$H$715</definedName>
    <definedName name="milestone_classification6">Ziadatel!$H$716</definedName>
    <definedName name="milestone_classification7">Ziadatel!$H$717</definedName>
    <definedName name="milestone_classification8">Ziadatel!$H$718</definedName>
    <definedName name="milestone_classification9">Ziadatel!$H$719</definedName>
    <definedName name="milestone_expected_end_date1">Ziadatel!$K$711</definedName>
    <definedName name="milestone_expected_end_date10">Ziadatel!$K$720</definedName>
    <definedName name="milestone_expected_end_date11">Ziadatel!$K$721</definedName>
    <definedName name="milestone_expected_end_date12">Ziadatel!$K$722</definedName>
    <definedName name="milestone_expected_end_date13">Ziadatel!$K$723</definedName>
    <definedName name="milestone_expected_end_date14">Ziadatel!$K$724</definedName>
    <definedName name="milestone_expected_end_date15">Ziadatel!$K$725</definedName>
    <definedName name="milestone_expected_end_date16">Ziadatel!$K$726</definedName>
    <definedName name="milestone_expected_end_date17">Ziadatel!$K$727</definedName>
    <definedName name="milestone_expected_end_date18">Ziadatel!$K$728</definedName>
    <definedName name="milestone_expected_end_date19">Ziadatel!$K$729</definedName>
    <definedName name="milestone_expected_end_date2">Ziadatel!$K$712</definedName>
    <definedName name="milestone_expected_end_date20">Ziadatel!$K$730</definedName>
    <definedName name="milestone_expected_end_date21">Ziadatel!$K$731</definedName>
    <definedName name="milestone_expected_end_date22">Ziadatel!$K$732</definedName>
    <definedName name="milestone_expected_end_date23">Ziadatel!$K$733</definedName>
    <definedName name="milestone_expected_end_date24">Ziadatel!$K$734</definedName>
    <definedName name="milestone_expected_end_date25">Ziadatel!$K$735</definedName>
    <definedName name="milestone_expected_end_date26">Ziadatel!$K$736</definedName>
    <definedName name="milestone_expected_end_date27">Ziadatel!$K$737</definedName>
    <definedName name="milestone_expected_end_date28">Ziadatel!$K$738</definedName>
    <definedName name="milestone_expected_end_date29">Ziadatel!$K$739</definedName>
    <definedName name="milestone_expected_end_date3">Ziadatel!$K$713</definedName>
    <definedName name="milestone_expected_end_date30">Ziadatel!$K$740</definedName>
    <definedName name="milestone_expected_end_date31">Ziadatel!$K$741</definedName>
    <definedName name="milestone_expected_end_date32">Ziadatel!$K$742</definedName>
    <definedName name="milestone_expected_end_date33">Ziadatel!$K$743</definedName>
    <definedName name="milestone_expected_end_date34">Ziadatel!$K$744</definedName>
    <definedName name="milestone_expected_end_date35">Ziadatel!$K$745</definedName>
    <definedName name="milestone_expected_end_date36">Ziadatel!$K$746</definedName>
    <definedName name="milestone_expected_end_date37">Ziadatel!$K$747</definedName>
    <definedName name="milestone_expected_end_date38">Ziadatel!$K$748</definedName>
    <definedName name="milestone_expected_end_date39">Ziadatel!$K$749</definedName>
    <definedName name="milestone_expected_end_date4">Ziadatel!$K$714</definedName>
    <definedName name="milestone_expected_end_date40">Ziadatel!$K$750</definedName>
    <definedName name="milestone_expected_end_date5">Ziadatel!$K$715</definedName>
    <definedName name="milestone_expected_end_date6">Ziadatel!$K$716</definedName>
    <definedName name="milestone_expected_end_date7">Ziadatel!$K$717</definedName>
    <definedName name="milestone_expected_end_date8">Ziadatel!$K$718</definedName>
    <definedName name="milestone_expected_end_date9">Ziadatel!$K$719</definedName>
    <definedName name="milestone_expected_start_date1">Ziadatel!$J$711</definedName>
    <definedName name="milestone_expected_start_date10">Ziadatel!$J$720</definedName>
    <definedName name="milestone_expected_start_date11">Ziadatel!$J$721</definedName>
    <definedName name="milestone_expected_start_date12">Ziadatel!$J$722</definedName>
    <definedName name="milestone_expected_start_date13">Ziadatel!$J$723</definedName>
    <definedName name="milestone_expected_start_date14">Ziadatel!$J$724</definedName>
    <definedName name="milestone_expected_start_date15">Ziadatel!$J$725</definedName>
    <definedName name="milestone_expected_start_date16">Ziadatel!$J$726</definedName>
    <definedName name="milestone_expected_start_date17">Ziadatel!$J$727</definedName>
    <definedName name="milestone_expected_start_date18">Ziadatel!$J$728</definedName>
    <definedName name="milestone_expected_start_date19">Ziadatel!$J$729</definedName>
    <definedName name="milestone_expected_start_date2">Ziadatel!$J$712</definedName>
    <definedName name="milestone_expected_start_date20">Ziadatel!$J$730</definedName>
    <definedName name="milestone_expected_start_date21">Ziadatel!$J$731</definedName>
    <definedName name="milestone_expected_start_date22">Ziadatel!$J$732</definedName>
    <definedName name="milestone_expected_start_date23">Ziadatel!$J$733</definedName>
    <definedName name="milestone_expected_start_date24">Ziadatel!$J$734</definedName>
    <definedName name="milestone_expected_start_date25">Ziadatel!$J$735</definedName>
    <definedName name="milestone_expected_start_date26">Ziadatel!$J$736</definedName>
    <definedName name="milestone_expected_start_date27">Ziadatel!$J$737</definedName>
    <definedName name="milestone_expected_start_date28">Ziadatel!$J$738</definedName>
    <definedName name="milestone_expected_start_date29">Ziadatel!$J$739</definedName>
    <definedName name="milestone_expected_start_date3">Ziadatel!$J$713</definedName>
    <definedName name="milestone_expected_start_date30">Ziadatel!$J$740</definedName>
    <definedName name="milestone_expected_start_date31">Ziadatel!$J$741</definedName>
    <definedName name="milestone_expected_start_date32">Ziadatel!$J$742</definedName>
    <definedName name="milestone_expected_start_date33">Ziadatel!$J$743</definedName>
    <definedName name="milestone_expected_start_date34">Ziadatel!$J$744</definedName>
    <definedName name="milestone_expected_start_date35">Ziadatel!$J$745</definedName>
    <definedName name="milestone_expected_start_date36">Ziadatel!$J$746</definedName>
    <definedName name="milestone_expected_start_date37">Ziadatel!$J$747</definedName>
    <definedName name="milestone_expected_start_date38">Ziadatel!$J$748</definedName>
    <definedName name="milestone_expected_start_date39">Ziadatel!$J$749</definedName>
    <definedName name="milestone_expected_start_date4">Ziadatel!$J$714</definedName>
    <definedName name="milestone_expected_start_date40">Ziadatel!$J$750</definedName>
    <definedName name="milestone_expected_start_date5">Ziadatel!$J$715</definedName>
    <definedName name="milestone_expected_start_date6">Ziadatel!$J$716</definedName>
    <definedName name="milestone_expected_start_date7">Ziadatel!$J$717</definedName>
    <definedName name="milestone_expected_start_date8">Ziadatel!$J$718</definedName>
    <definedName name="milestone_expected_start_date9">Ziadatel!$J$719</definedName>
    <definedName name="milestone_importance1">Ziadatel!$I$711</definedName>
    <definedName name="milestone_importance10">Ziadatel!$I$720</definedName>
    <definedName name="milestone_importance11">Ziadatel!$I$721</definedName>
    <definedName name="milestone_importance12">Ziadatel!$I$722</definedName>
    <definedName name="milestone_importance13">Ziadatel!$I$723</definedName>
    <definedName name="milestone_importance14">Ziadatel!$I$724</definedName>
    <definedName name="milestone_importance15">Ziadatel!$I$725</definedName>
    <definedName name="milestone_importance16">Ziadatel!$I$726</definedName>
    <definedName name="milestone_importance17">Ziadatel!$I$727</definedName>
    <definedName name="milestone_importance18">Ziadatel!$I$728</definedName>
    <definedName name="milestone_importance19">Ziadatel!$I$729</definedName>
    <definedName name="milestone_importance2">Ziadatel!$I$712</definedName>
    <definedName name="milestone_importance20">Ziadatel!$I$730</definedName>
    <definedName name="milestone_importance21">Ziadatel!$I$731</definedName>
    <definedName name="milestone_importance22">Ziadatel!$I$732</definedName>
    <definedName name="milestone_importance23">Ziadatel!$I$733</definedName>
    <definedName name="milestone_importance24">Ziadatel!$I$734</definedName>
    <definedName name="milestone_importance25">Ziadatel!$I$735</definedName>
    <definedName name="milestone_importance26">Ziadatel!$I$736</definedName>
    <definedName name="milestone_importance27">Ziadatel!$I$737</definedName>
    <definedName name="milestone_importance28">Ziadatel!$I$738</definedName>
    <definedName name="milestone_importance29">Ziadatel!$I$739</definedName>
    <definedName name="milestone_importance3">Ziadatel!$I$713</definedName>
    <definedName name="milestone_importance30">Ziadatel!$I$740</definedName>
    <definedName name="milestone_importance31">Ziadatel!$I$741</definedName>
    <definedName name="milestone_importance32">Ziadatel!$I$742</definedName>
    <definedName name="milestone_importance33">Ziadatel!$I$743</definedName>
    <definedName name="milestone_importance34">Ziadatel!$I$744</definedName>
    <definedName name="milestone_importance35">Ziadatel!$I$745</definedName>
    <definedName name="milestone_importance36">Ziadatel!$I$746</definedName>
    <definedName name="milestone_importance37">Ziadatel!$I$747</definedName>
    <definedName name="milestone_importance38">Ziadatel!$I$748</definedName>
    <definedName name="milestone_importance39">Ziadatel!$I$749</definedName>
    <definedName name="milestone_importance4">Ziadatel!$I$714</definedName>
    <definedName name="milestone_importance40">Ziadatel!$I$750</definedName>
    <definedName name="milestone_importance5">Ziadatel!$I$715</definedName>
    <definedName name="milestone_importance6">Ziadatel!$I$716</definedName>
    <definedName name="milestone_importance7">Ziadatel!$I$717</definedName>
    <definedName name="milestone_importance8">Ziadatel!$I$718</definedName>
    <definedName name="milestone_importance9">Ziadatel!$I$719</definedName>
    <definedName name="milestone1">Ziadatel!$C$711</definedName>
    <definedName name="milestone10">Ziadatel!$C$720</definedName>
    <definedName name="milestone11">Ziadatel!$C$721</definedName>
    <definedName name="milestone12">Ziadatel!$C$722</definedName>
    <definedName name="milestone13">Ziadatel!$C$723</definedName>
    <definedName name="milestone14">Ziadatel!$C$724</definedName>
    <definedName name="milestone15">Ziadatel!$C$725</definedName>
    <definedName name="milestone16">Ziadatel!$C$726</definedName>
    <definedName name="milestone17">Ziadatel!$C$727</definedName>
    <definedName name="milestone18">Ziadatel!$C$728</definedName>
    <definedName name="milestone19">Ziadatel!$C$729</definedName>
    <definedName name="milestone2">Ziadatel!$C$712</definedName>
    <definedName name="milestone20">Ziadatel!$C$730</definedName>
    <definedName name="milestone21">Ziadatel!$C$731</definedName>
    <definedName name="milestone22">Ziadatel!$C$732</definedName>
    <definedName name="milestone23">Ziadatel!$C$733</definedName>
    <definedName name="milestone24">Ziadatel!$C$734</definedName>
    <definedName name="milestone25">Ziadatel!$C$735</definedName>
    <definedName name="milestone26">Ziadatel!$C$736</definedName>
    <definedName name="milestone27">Ziadatel!$C$737</definedName>
    <definedName name="milestone28">Ziadatel!$C$738</definedName>
    <definedName name="milestone29">Ziadatel!$C$739</definedName>
    <definedName name="milestone3">Ziadatel!$C$713</definedName>
    <definedName name="milestone30">Ziadatel!$C$740</definedName>
    <definedName name="milestone31">Ziadatel!$C$741</definedName>
    <definedName name="milestone32">Ziadatel!$C$742</definedName>
    <definedName name="milestone33">Ziadatel!$C$743</definedName>
    <definedName name="milestone34">Ziadatel!$C$744</definedName>
    <definedName name="milestone35">Ziadatel!$C$745</definedName>
    <definedName name="milestone36">Ziadatel!$C$746</definedName>
    <definedName name="milestone37">Ziadatel!$C$747</definedName>
    <definedName name="milestone38">Ziadatel!$C$748</definedName>
    <definedName name="milestone39">Ziadatel!$C$749</definedName>
    <definedName name="milestone4">Ziadatel!$C$714</definedName>
    <definedName name="milestone40">Ziadatel!$C$750</definedName>
    <definedName name="milestone5">Ziadatel!$C$715</definedName>
    <definedName name="milestone6">Ziadatel!$C$716</definedName>
    <definedName name="milestone7">Ziadatel!$C$717</definedName>
    <definedName name="milestone8">Ziadatel!$C$718</definedName>
    <definedName name="milestone9">Ziadatel!$C$719</definedName>
    <definedName name="milestones_classification">Lists!$BD$2:$BD$6</definedName>
    <definedName name="milestones_completion_dates">INDEX(milestones_expected_dates,MATCH(Ziadatel!$J1,milestones_expected_dates,0)+1):INDEX(Lists!$BF$2:$BF$100,MATCH(project_implementation_duration,milestones_expected_dates,0))</definedName>
    <definedName name="milestones_duration_filtered">Prehlad!$C$97:INDEX(Prehlad!$C$97:$C$135,COUNTIF(Prehlad!$C$97:$C$135,"&lt;&gt;0"))</definedName>
    <definedName name="milestones_expected_dates">OFFSET(Lists!$BF$2,0,0,COUNTA(Lists!$BF$2:$BF1047967),1)</definedName>
    <definedName name="milestones_filtered">Prehlad!$A$97:INDEX(Prehlad!$A$97:$A$135,COUNTIF(Prehlad!$A$97:$A$135,"&lt;&gt;0"))</definedName>
    <definedName name="milestones_importance">Lists!$BE$2:$BE$4</definedName>
    <definedName name="milestones_start_dates">Lists!$BF$2:INDEX(Lists!$BF$2:$BF$100,MATCH(project_implementation_duration,Lists!$BF$2:$BF1047967,0)-1)</definedName>
    <definedName name="milestones_started_filtered">Prehlad!$B$97:INDEX(Prehlad!$B$97:$B$135,COUNTIF(Prehlad!$B$97:$B$135,"&lt;&gt;0"))</definedName>
    <definedName name="minimum_project_grant_requested">Ziadatel!$K$695</definedName>
    <definedName name="Multisector">Lists!$N$110:$N$125</definedName>
    <definedName name="natural_sciences_fields">Lists!$BN$3:$BN$9</definedName>
    <definedName name="_xlnm.Print_Titles" localSheetId="1">Rozpocet!$2:$9</definedName>
    <definedName name="non_investment_costs_total">Prehlad!$K$29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1">Rozpocet!$A:$K</definedName>
    <definedName name="_xlnm.Print_Area" localSheetId="0">Ziadatel!$A:$M</definedName>
    <definedName name="optional_annex1">Ziadatel!$C$924</definedName>
    <definedName name="optional_annex2">Ziadatel!$C$925</definedName>
    <definedName name="optional_annex3">Ziadatel!$C$926</definedName>
    <definedName name="optional_annex4">Ziadatel!$C$927</definedName>
    <definedName name="organisation_id">Ziadatel!$I$80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Ziadatel!$C$221</definedName>
    <definedName name="output_relates_activity2">Ziadatel!$C$247</definedName>
    <definedName name="output_relates_activity3">Ziadatel!$C$274</definedName>
    <definedName name="output_relates_activity4">Ziadatel!$C$300</definedName>
    <definedName name="output_relates_activity5">Ziadatel!$C$329</definedName>
    <definedName name="output_relates_activity6">Ziadatel!$C$355</definedName>
    <definedName name="output_relates_activity7">Ziadatel!$C$384</definedName>
    <definedName name="output_relates_activity8">Ziadatel!$C$410</definedName>
    <definedName name="partner1_cp_cell_phone">Ziadatel!$D$586</definedName>
    <definedName name="partner1_cp_email">Ziadatel!$D$584</definedName>
    <definedName name="partner1_cp_name">Ziadatel!$D$582</definedName>
    <definedName name="partner1_cp_phone">Ziadatel!$D$585</definedName>
    <definedName name="partner1_cp_position">Ziadatel!$D$583</definedName>
    <definedName name="partner1_english_name">Ziadatel!$D$566</definedName>
    <definedName name="partner1_financing_system">Ziadatel!$D$591</definedName>
    <definedName name="partner1_grant_cofinancing">Ziadatel!$D$590</definedName>
    <definedName name="partner1_grant_spending">Ziadatel!$D$589</definedName>
    <definedName name="partner1_ID">Ziadatel!$D$567</definedName>
    <definedName name="partner1_name">Ziadatel!$D$565</definedName>
    <definedName name="partner1_partnership_status">Ziadatel!$D$592</definedName>
    <definedName name="partner1_seat_city">Ziadatel!$D$577</definedName>
    <definedName name="partner1_seat_country">Ziadatel!$D$578</definedName>
    <definedName name="partner1_seat_postal_code">Ziadatel!$D$576</definedName>
    <definedName name="partner1_seat_street">Ziadatel!$D$574</definedName>
    <definedName name="partner1_seat_street_number">Ziadatel!$D$575</definedName>
    <definedName name="partner1_sector">Ziadatel!$D$568</definedName>
    <definedName name="partner1_sector_fmo_specified">Ziadatel!$D$571</definedName>
    <definedName name="partner1_sector_other">Ziadatel!$D$570</definedName>
    <definedName name="partner1_sector_specified">Ziadatel!$D$569</definedName>
    <definedName name="partner1_web_address">Ziadatel!$D$579</definedName>
    <definedName name="partner2_cp_cell_phone">Ziadatel!$F$586</definedName>
    <definedName name="partner2_cp_email">Ziadatel!$F$584</definedName>
    <definedName name="partner2_cp_name">Ziadatel!$F$582</definedName>
    <definedName name="partner2_cp_phone">Ziadatel!$F$585</definedName>
    <definedName name="partner2_cp_position">Ziadatel!$F$583</definedName>
    <definedName name="partner2_english_name">Ziadatel!$F$566</definedName>
    <definedName name="partner2_financing_system">Ziadatel!$F$591</definedName>
    <definedName name="partner2_grant_cofinancing">Ziadatel!$F$590</definedName>
    <definedName name="partner2_grant_spending">Ziadatel!$F$589</definedName>
    <definedName name="partner2_ID">Ziadatel!$F$567</definedName>
    <definedName name="partner2_name">Ziadatel!$F$565</definedName>
    <definedName name="partner2_partnership_status">Ziadatel!$F$592</definedName>
    <definedName name="partner2_seat_city">Ziadatel!$F$577</definedName>
    <definedName name="partner2_seat_country">Ziadatel!$F$578</definedName>
    <definedName name="partner2_seat_postal_code">Ziadatel!$F$576</definedName>
    <definedName name="partner2_seat_street">Ziadatel!$F$574</definedName>
    <definedName name="partner2_seat_street_number">Ziadatel!$F$575</definedName>
    <definedName name="partner2_sector">Ziadatel!$F$568</definedName>
    <definedName name="partner2_sector_fmo_specified">Ziadatel!$F$571</definedName>
    <definedName name="partner2_sector_other">Ziadatel!$F$570</definedName>
    <definedName name="partner2_sector_specified">Ziadatel!$F$569</definedName>
    <definedName name="partner2_web_address">Ziadatel!$F$579</definedName>
    <definedName name="partner3_cp_cell_phone">Ziadatel!$H$586</definedName>
    <definedName name="partner3_cp_email">Ziadatel!$H$584</definedName>
    <definedName name="partner3_cp_name">Ziadatel!$H$582</definedName>
    <definedName name="partner3_cp_phone">Ziadatel!$H$585</definedName>
    <definedName name="partner3_cp_position">Ziadatel!$H$583</definedName>
    <definedName name="partner3_english_name">Ziadatel!$H$566</definedName>
    <definedName name="partner3_financing_system">Ziadatel!$H$591</definedName>
    <definedName name="partner3_grant_cofinancing">Ziadatel!$H$590</definedName>
    <definedName name="partner3_grant_spending">Ziadatel!$H$589</definedName>
    <definedName name="partner3_ID">Ziadatel!$H$567</definedName>
    <definedName name="partner3_name">Ziadatel!$H$565</definedName>
    <definedName name="partner3_partnership_status">Ziadatel!$H$592</definedName>
    <definedName name="partner3_seat_city">Ziadatel!$H$577</definedName>
    <definedName name="partner3_seat_country">Ziadatel!$H$578</definedName>
    <definedName name="partner3_seat_postal_code">Ziadatel!$H$576</definedName>
    <definedName name="partner3_seat_street">Ziadatel!$H$574</definedName>
    <definedName name="partner3_seat_street_number">Ziadatel!$H$575</definedName>
    <definedName name="partner3_sector">Ziadatel!$H$568</definedName>
    <definedName name="partner3_sector_fmo_specified">Ziadatel!$H$571</definedName>
    <definedName name="partner3_sector_other">Ziadatel!$H$570</definedName>
    <definedName name="partner3_sector_specified">Ziadatel!$H$569</definedName>
    <definedName name="partner3_web_address">Ziadatel!$H$579</definedName>
    <definedName name="partner4_cp_cell_phone">Ziadatel!$J$586</definedName>
    <definedName name="partner4_cp_email">Ziadatel!$J$584</definedName>
    <definedName name="partner4_cp_name">Ziadatel!$J$582</definedName>
    <definedName name="partner4_cp_phone">Ziadatel!$J$585</definedName>
    <definedName name="partner4_cp_position">Ziadatel!$J$583</definedName>
    <definedName name="partner4_english_name">Ziadatel!$J$566</definedName>
    <definedName name="partner4_financing_system">Ziadatel!$J$591</definedName>
    <definedName name="partner4_grant_cofinancing">Ziadatel!$J$590</definedName>
    <definedName name="partner4_grant_spending">Ziadatel!$J$589</definedName>
    <definedName name="partner4_ID">Ziadatel!$J$567</definedName>
    <definedName name="partner4_name">Ziadatel!$J$565</definedName>
    <definedName name="partner4_partnership_status">Ziadatel!$J$592</definedName>
    <definedName name="partner4_seat_city">Ziadatel!$J$577</definedName>
    <definedName name="partner4_seat_country">Ziadatel!$J$578</definedName>
    <definedName name="partner4_seat_postal_code">Ziadatel!$J$576</definedName>
    <definedName name="partner4_seat_street">Ziadatel!$J$574</definedName>
    <definedName name="partner4_seat_street_number">Ziadatel!$J$575</definedName>
    <definedName name="partner4_sector">Ziadatel!$J$568</definedName>
    <definedName name="partner4_sector_fmo_specified">Ziadatel!$J$571</definedName>
    <definedName name="partner4_sector_other">Ziadatel!$J$570</definedName>
    <definedName name="partner4_sector_specified">Ziadatel!$J$569</definedName>
    <definedName name="partner4_web_address">Ziadatel!$J$579</definedName>
    <definedName name="partnership_status">Lists!$X$2:$X$6</definedName>
    <definedName name="percentage_activity1">Prehlad!$I$14</definedName>
    <definedName name="percentage_activity2">Prehlad!$I$15</definedName>
    <definedName name="percentage_activity3">Prehlad!$I$16</definedName>
    <definedName name="percentage_activity4">Prehlad!$I$17</definedName>
    <definedName name="percentage_activity5">Prehlad!$I$18</definedName>
    <definedName name="percentage_activity6">Prehlad!$I$19</definedName>
    <definedName name="percentage_activity7">Prehlad!$I$20</definedName>
    <definedName name="percentage_activity8">Prehlad!$I$21</definedName>
    <definedName name="percentage_budget_heading1">Prehlad!$I$29</definedName>
    <definedName name="percentage_budget_heading10">Prehlad!$I$38</definedName>
    <definedName name="percentage_budget_heading11">Prehlad!$I$39</definedName>
    <definedName name="percentage_budget_heading12">Prehlad!$I$40</definedName>
    <definedName name="percentage_budget_heading2">Prehlad!$I$30</definedName>
    <definedName name="percentage_budget_heading3">Prehlad!$I$31</definedName>
    <definedName name="percentage_budget_heading4">Prehlad!$I$32</definedName>
    <definedName name="percentage_budget_heading5">Prehlad!$I$33</definedName>
    <definedName name="percentage_budget_heading6">Prehlad!$I$34</definedName>
    <definedName name="percentage_budget_heading7">Prehlad!$I$35</definedName>
    <definedName name="percentage_budget_heading8">Prehlad!$I$36</definedName>
    <definedName name="percentage_budget_heading9">Prehlad!$I$37</definedName>
    <definedName name="percentage_infrastructure_costs">Prehlad!$J$30</definedName>
    <definedName name="percentage_non_investment_costs">Prehlad!$K$30</definedName>
    <definedName name="percentage_output1">Prehlad!$I$3</definedName>
    <definedName name="percentage_output2">Prehlad!$I$4</definedName>
    <definedName name="percentage_output3">Prehlad!$I$5</definedName>
    <definedName name="percentage_project_management">Prehlad!$I$2</definedName>
    <definedName name="percentage_project_management_output">Prehlad!$I$13</definedName>
    <definedName name="pm_antidiscrimination">Ziadatel!$K$855</definedName>
    <definedName name="pm_gender">Ziadatel!$K$852</definedName>
    <definedName name="pm_other_vulnerable">Ziadatel!$K$854</definedName>
    <definedName name="pm_roma">Ziadatel!$K$853</definedName>
    <definedName name="pm_transparency">Ziadatel!$K$856</definedName>
    <definedName name="Policy_Markers">Lists!$Y$2:$Y$4</definedName>
    <definedName name="postal_address_city">Ziadatel!$D$117</definedName>
    <definedName name="postal_address_descriptive_number">Ziadatel!$D$113</definedName>
    <definedName name="postal_address_organisation">Ziadatel!$D$109</definedName>
    <definedName name="postal_address_orientation_number">Ziadatel!$E$113</definedName>
    <definedName name="postal_address_postal_code">Ziadatel!$D$115</definedName>
    <definedName name="postal_address_street">Ziadatel!$D$111</definedName>
    <definedName name="Private">Lists!$G$15:$G$18</definedName>
    <definedName name="Private1">Lists!$H$25:$H$31</definedName>
    <definedName name="programme_abbreviation">Ziadatel!$B$11</definedName>
    <definedName name="programme_outcome">Ziadatel!$D$15</definedName>
    <definedName name="programme_output_code1">Ziadatel!$L$20</definedName>
    <definedName name="programme_output_code2">Ziadatel!$L$23</definedName>
    <definedName name="programme_output_code3">Ziadatel!$L$26</definedName>
    <definedName name="programme_output_code4">Ziadatel!$L$29</definedName>
    <definedName name="programme_output1">Ziadatel!$D$20</definedName>
    <definedName name="programme_output2">Ziadatel!$D$23</definedName>
    <definedName name="programme_output3">Ziadatel!$D$26</definedName>
    <definedName name="programme_output4">Ziadatel!$D$29</definedName>
    <definedName name="programme_title">Ziadatel!$D$11</definedName>
    <definedName name="Programmes">Lists!$AE$2:$AE$5</definedName>
    <definedName name="programmes_table">Lists!$AE$2:$AG$5</definedName>
    <definedName name="project_grant_rate">Ziadatel!$K$693</definedName>
    <definedName name="project_implementation_duration">Ziadatel!$J$707</definedName>
    <definedName name="project_implementation_duration_list">Lists!$BF$4:INDEX(Lists!$BF$2:$BF$100,COUNTA(Lists!$BF$2:$BF1047967))</definedName>
    <definedName name="project_management_applicant">Prehlad!$C$50</definedName>
    <definedName name="project_management_partner1">Prehlad!$D$50</definedName>
    <definedName name="project_management_partner2">Prehlad!$E$50</definedName>
    <definedName name="project_management_partner3">Prehlad!$F$50</definedName>
    <definedName name="project_management_partner4">Prehlad!$G$50</definedName>
    <definedName name="project_management_total">Prehlad!$H$50</definedName>
    <definedName name="project_sector">Ziadatel!$C$494</definedName>
    <definedName name="project_sector_codes_table">Lists!$N$1:$O$127</definedName>
    <definedName name="project_sector_specified">Ziadatel!$D$494</definedName>
    <definedName name="project_sectors">Lists!$L$2:$L$10</definedName>
    <definedName name="project_sectors_table">Lists!$L$2:$M$10</definedName>
    <definedName name="project_specific_indicator_baseline1">Ziadatel!$G$479</definedName>
    <definedName name="project_specific_indicator_baseline2">Ziadatel!$G$480</definedName>
    <definedName name="project_specific_indicator_baseline3">Ziadatel!$G$481</definedName>
    <definedName name="project_specific_indicator_baseline4">Ziadatel!$G$482</definedName>
    <definedName name="project_specific_indicator_baseline5">Ziadatel!$G$483</definedName>
    <definedName name="project_specific_indicator_baseline6">Ziadatel!$G$484</definedName>
    <definedName name="project_specific_indicator_baseline7">Ziadatel!$G$485</definedName>
    <definedName name="project_specific_indicator_code1">Ziadatel!$L$479</definedName>
    <definedName name="project_specific_indicator_code2">Ziadatel!$L$480</definedName>
    <definedName name="project_specific_indicator_code3">Ziadatel!$L$481</definedName>
    <definedName name="project_specific_indicator_code4">Ziadatel!$L$482</definedName>
    <definedName name="project_specific_indicator_code5">Ziadatel!$L$483</definedName>
    <definedName name="project_specific_indicator_code6">Ziadatel!$L$484</definedName>
    <definedName name="project_specific_indicator_code7">Ziadatel!$L$485</definedName>
    <definedName name="project_specific_indicator_level1">Ziadatel!$F$479</definedName>
    <definedName name="project_specific_indicator_level2">Ziadatel!$F$480</definedName>
    <definedName name="project_specific_indicator_level3">Ziadatel!$F$481</definedName>
    <definedName name="project_specific_indicator_level4">Ziadatel!$F$482</definedName>
    <definedName name="project_specific_indicator_level5">Ziadatel!$F$483</definedName>
    <definedName name="project_specific_indicator_level6">Ziadatel!$F$484</definedName>
    <definedName name="project_specific_indicator_level7">Ziadatel!$F$485</definedName>
    <definedName name="project_specific_indicator_measurement1">Ziadatel!$I$479</definedName>
    <definedName name="project_specific_indicator_measurement2">Ziadatel!$I$480</definedName>
    <definedName name="project_specific_indicator_measurement3">Ziadatel!$I$481</definedName>
    <definedName name="project_specific_indicator_measurement4">Ziadatel!$I$482</definedName>
    <definedName name="project_specific_indicator_measurement5">Ziadatel!$I$483</definedName>
    <definedName name="project_specific_indicator_measurement6">Ziadatel!$I$484</definedName>
    <definedName name="project_specific_indicator_measurement7">Ziadatel!$I$485</definedName>
    <definedName name="project_specific_indicator_target1">Ziadatel!$H$479</definedName>
    <definedName name="project_specific_indicator_target2">Ziadatel!$H$480</definedName>
    <definedName name="project_specific_indicator_target3">Ziadatel!$H$481</definedName>
    <definedName name="project_specific_indicator_target4">Ziadatel!$H$482</definedName>
    <definedName name="project_specific_indicator_target5">Ziadatel!$H$483</definedName>
    <definedName name="project_specific_indicator_target6">Ziadatel!$H$484</definedName>
    <definedName name="project_specific_indicator_target7">Ziadatel!$H$485</definedName>
    <definedName name="project_specific_indicator_type1">Ziadatel!$E$479</definedName>
    <definedName name="project_specific_indicator_type2">Ziadatel!$E$480</definedName>
    <definedName name="project_specific_indicator_type3">Ziadatel!$E$481</definedName>
    <definedName name="project_specific_indicator_type4">Ziadatel!$E$482</definedName>
    <definedName name="project_specific_indicator_type5">Ziadatel!$E$483</definedName>
    <definedName name="project_specific_indicator_type6">Ziadatel!$E$484</definedName>
    <definedName name="project_specific_indicator_type7">Ziadatel!$E$485</definedName>
    <definedName name="project_specific_indicator1">Ziadatel!$C$479</definedName>
    <definedName name="project_specific_indicator2">Ziadatel!$C$480</definedName>
    <definedName name="project_specific_indicator3">Ziadatel!$C$481</definedName>
    <definedName name="project_specific_indicator4">Ziadatel!$C$482</definedName>
    <definedName name="project_specific_indicator5">Ziadatel!$C$483</definedName>
    <definedName name="project_specific_indicator6">Ziadatel!$C$484</definedName>
    <definedName name="project_specific_indicator7">Ziadatel!$C$485</definedName>
    <definedName name="project_sustainability_period">Ziadatel!$J$875</definedName>
    <definedName name="project_title">Ziadatel!$B$7</definedName>
    <definedName name="Public">Lists!$G$3:$G$7</definedName>
    <definedName name="Public1">Lists!$H$3:$H$9</definedName>
    <definedName name="publicity_indicator_baseline1">Ziadatel!$G$469</definedName>
    <definedName name="publicity_indicator_baseline2">Ziadatel!$G$470</definedName>
    <definedName name="publicity_indicator_baseline3">Ziadatel!$G$471</definedName>
    <definedName name="publicity_indicator_baseline4">Ziadatel!$G$472</definedName>
    <definedName name="publicity_indicator_baseline5">Ziadatel!$G$473</definedName>
    <definedName name="publicity_indicator_baseline6">Ziadatel!$G$474</definedName>
    <definedName name="publicity_indicator_baseline7">Ziadatel!$G$475</definedName>
    <definedName name="publicity_indicator_code1">Ziadatel!$L$469</definedName>
    <definedName name="publicity_indicator_code2">Ziadatel!$L$470</definedName>
    <definedName name="publicity_indicator_code3">Ziadatel!$L$471</definedName>
    <definedName name="publicity_indicator_code4">Ziadatel!$L$472</definedName>
    <definedName name="publicity_indicator_code5">Ziadatel!$L$473</definedName>
    <definedName name="publicity_indicator_code6">Ziadatel!$L$474</definedName>
    <definedName name="publicity_indicator_code7">Ziadatel!$L$475</definedName>
    <definedName name="publicity_indicator_measurement1">Ziadatel!$I$469</definedName>
    <definedName name="publicity_indicator_measurement2">Ziadatel!$I$470</definedName>
    <definedName name="publicity_indicator_measurement3">Ziadatel!$I$471</definedName>
    <definedName name="publicity_indicator_measurement4">Ziadatel!$I$472</definedName>
    <definedName name="publicity_indicator_measurement5">Ziadatel!$I$473</definedName>
    <definedName name="publicity_indicator_measurement6">Ziadatel!$I$474</definedName>
    <definedName name="publicity_indicator_measurement7">Ziadatel!$I$475</definedName>
    <definedName name="publicity_indicator_target1">Ziadatel!$H$469</definedName>
    <definedName name="publicity_indicator_target2">Ziadatel!$H$470</definedName>
    <definedName name="publicity_indicator_target3">Ziadatel!$H$471</definedName>
    <definedName name="publicity_indicator_target4">Ziadatel!$H$472</definedName>
    <definedName name="publicity_indicator_target5">Ziadatel!$H$473</definedName>
    <definedName name="publicity_indicator_target6">Ziadatel!$H$474</definedName>
    <definedName name="publicity_indicator_target7">Ziadatel!$H$475</definedName>
    <definedName name="publicity_indicator1">Ziadatel!$C$469</definedName>
    <definedName name="publicity_indicator2">Ziadatel!$C$470</definedName>
    <definedName name="publicity_indicator3">Ziadatel!$C$471</definedName>
    <definedName name="publicity_indicator4">Ziadatel!$C$472</definedName>
    <definedName name="publicity_indicator5">Ziadatel!$C$473</definedName>
    <definedName name="publicity_indicator6">Ziadatel!$C$474</definedName>
    <definedName name="publicity_indicator7">Ziadatel!$C$475</definedName>
    <definedName name="publicity_indicators">Lists!$AW$2:$AW$8</definedName>
    <definedName name="region">Ziadatel!$F$35</definedName>
    <definedName name="region_seat">Ziadatel!$F$47</definedName>
    <definedName name="regions">Lists!$A$2:$A$9</definedName>
    <definedName name="regions_table">Lists!$A$2:$B$9</definedName>
    <definedName name="research_type">Ziadatel!$G$507</definedName>
    <definedName name="research_types">Lists!$BK$2:$BK$3</definedName>
    <definedName name="reserve_applicant">Ziadatel!$F$685</definedName>
    <definedName name="reserve_partner1">Ziadatel!$G$685</definedName>
    <definedName name="reserve_partner2">Ziadatel!$H$685</definedName>
    <definedName name="reserve_partner3">Ziadatel!$I$685</definedName>
    <definedName name="reserve_partner4">Ziadatel!$J$685</definedName>
    <definedName name="reserve_total">Ziadatel!$K$685</definedName>
    <definedName name="risk_description1">Ziadatel!$J$843</definedName>
    <definedName name="risk_description2">Ziadatel!$J$844</definedName>
    <definedName name="risk_description3">Ziadatel!$J$845</definedName>
    <definedName name="risk_description4">Ziadatel!$J$846</definedName>
    <definedName name="risk_description5">Ziadatel!$J$847</definedName>
    <definedName name="risk_description6">Ziadatel!$J$848</definedName>
    <definedName name="risk_description7">Ziadatel!$J$849</definedName>
    <definedName name="risk_impact">Lists!$AZ$2:$AZ$5</definedName>
    <definedName name="risk_impact1">Ziadatel!$G$843</definedName>
    <definedName name="risk_impact2">Ziadatel!$G$844</definedName>
    <definedName name="risk_impact3">Ziadatel!$G$845</definedName>
    <definedName name="risk_impact4">Ziadatel!$G$846</definedName>
    <definedName name="risk_impact5">Ziadatel!$G$847</definedName>
    <definedName name="risk_impact6">Ziadatel!$G$848</definedName>
    <definedName name="risk_impact7">Ziadatel!$G$849</definedName>
    <definedName name="risk_likelihood">Lists!$AY$2:$AY$5</definedName>
    <definedName name="risk_likelihood1">Ziadatel!$F$843</definedName>
    <definedName name="risk_likelihood2">Ziadatel!$F$844</definedName>
    <definedName name="risk_likelihood3">Ziadatel!$F$845</definedName>
    <definedName name="risk_likelihood4">Ziadatel!$F$846</definedName>
    <definedName name="risk_likelihood5">Ziadatel!$F$847</definedName>
    <definedName name="risk_likelihood6">Ziadatel!$F$848</definedName>
    <definedName name="risk_likelihood7">Ziadatel!$F$849</definedName>
    <definedName name="risk_response">Lists!$BA$2:$BA$5</definedName>
    <definedName name="risk_response1">Ziadatel!$I$843</definedName>
    <definedName name="risk_response2">Ziadatel!$I$844</definedName>
    <definedName name="risk_response3">Ziadatel!$I$845</definedName>
    <definedName name="risk_response4">Ziadatel!$I$846</definedName>
    <definedName name="risk_response5">Ziadatel!$I$847</definedName>
    <definedName name="risk_response6">Ziadatel!$I$848</definedName>
    <definedName name="risk_response7">Ziadatel!$I$849</definedName>
    <definedName name="risk_score_table">Lists!$BB$2:$BC$17</definedName>
    <definedName name="risk_score1">Ziadatel!$H$843</definedName>
    <definedName name="risk_score2">Ziadatel!$H$844</definedName>
    <definedName name="risk_score3">Ziadatel!$H$845</definedName>
    <definedName name="risk_score4">Ziadatel!$H$846</definedName>
    <definedName name="risk_score5">Ziadatel!$H$847</definedName>
    <definedName name="risk_score6">Ziadatel!$H$848</definedName>
    <definedName name="risk_score7">Ziadatel!$H$849</definedName>
    <definedName name="risk_type">Lists!$AX$2:$AX$3</definedName>
    <definedName name="risk_type1">Ziadatel!$E$843</definedName>
    <definedName name="risk_type2">Ziadatel!$E$844</definedName>
    <definedName name="risk_type3">Ziadatel!$E$845</definedName>
    <definedName name="risk_type4">Ziadatel!$E$846</definedName>
    <definedName name="risk_type5">Ziadatel!$E$847</definedName>
    <definedName name="risk_type6">Ziadatel!$E$848</definedName>
    <definedName name="risk_type7">Ziadatel!$E$849</definedName>
    <definedName name="risk1">Ziadatel!$B$843</definedName>
    <definedName name="risk2">Ziadatel!$B$844</definedName>
    <definedName name="risk3">Ziadatel!$B$845</definedName>
    <definedName name="risk4">Ziadatel!$B$846</definedName>
    <definedName name="risk5">Ziadatel!$B$847</definedName>
    <definedName name="risk6">Ziadatel!$B$848</definedName>
    <definedName name="risk7">Ziadatel!$B$849</definedName>
    <definedName name="seat_city">Ziadatel!$D$90</definedName>
    <definedName name="seat_descriptive_number">Ziadatel!$D$86</definedName>
    <definedName name="seat_orientation_number">Ziadatel!$E$86</definedName>
    <definedName name="seat_postal_code">Ziadatel!$D$88</definedName>
    <definedName name="seat_street">Ziadatel!$D$84</definedName>
    <definedName name="sector">Ziadatel!$G$71</definedName>
    <definedName name="sector_fmo_specified">Ziadatel!$G$78</definedName>
    <definedName name="sector_other">Ziadatel!$G$75</definedName>
    <definedName name="sector_specified">Ziadatel!$G$73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Ziadatel!$D$160</definedName>
    <definedName name="sources_of_information">Lists!$J$2:$J$7</definedName>
    <definedName name="standard_indicator_baseline1">Ziadatel!$G$437</definedName>
    <definedName name="standard_indicator_baseline10">Ziadatel!$G$446</definedName>
    <definedName name="standard_indicator_baseline11">Ziadatel!$G$447</definedName>
    <definedName name="standard_indicator_baseline12">Ziadatel!$G$448</definedName>
    <definedName name="standard_indicator_baseline13">Ziadatel!$G$449</definedName>
    <definedName name="standard_indicator_baseline14">Ziadatel!$G$450</definedName>
    <definedName name="standard_indicator_baseline2">Ziadatel!$G$438</definedName>
    <definedName name="standard_indicator_baseline3">Ziadatel!$G$439</definedName>
    <definedName name="standard_indicator_baseline4">Ziadatel!$G$440</definedName>
    <definedName name="standard_indicator_baseline5">Ziadatel!$G$441</definedName>
    <definedName name="standard_indicator_baseline6">Ziadatel!$G$442</definedName>
    <definedName name="standard_indicator_baseline7">Ziadatel!$G$443</definedName>
    <definedName name="standard_indicator_baseline8">Ziadatel!$G$444</definedName>
    <definedName name="standard_indicator_baseline9">Ziadatel!$G$445</definedName>
    <definedName name="standard_indicator_code1">Ziadatel!$L$437</definedName>
    <definedName name="standard_indicator_code10">Ziadatel!$L$446</definedName>
    <definedName name="standard_indicator_code11">Ziadatel!$L$447</definedName>
    <definedName name="standard_indicator_code12">Ziadatel!$L$448</definedName>
    <definedName name="standard_indicator_code13">Ziadatel!$L$449</definedName>
    <definedName name="standard_indicator_code14">Ziadatel!$L$450</definedName>
    <definedName name="standard_indicator_code2">Ziadatel!$L$438</definedName>
    <definedName name="standard_indicator_code3">Ziadatel!$L$439</definedName>
    <definedName name="standard_indicator_code4">Ziadatel!$L$440</definedName>
    <definedName name="standard_indicator_code5">Ziadatel!$L$441</definedName>
    <definedName name="standard_indicator_code6">Ziadatel!$L$442</definedName>
    <definedName name="standard_indicator_code7">Ziadatel!$L$443</definedName>
    <definedName name="standard_indicator_code8">Ziadatel!$L$444</definedName>
    <definedName name="standard_indicator_code9">Ziadatel!$L$445</definedName>
    <definedName name="standard_indicator_level1">Ziadatel!$F$437</definedName>
    <definedName name="standard_indicator_level10">Ziadatel!$F$446</definedName>
    <definedName name="standard_indicator_level11">Ziadatel!$F$447</definedName>
    <definedName name="standard_indicator_level12">Ziadatel!$F$448</definedName>
    <definedName name="standard_indicator_level13">Ziadatel!$F$449</definedName>
    <definedName name="standard_indicator_level14">Ziadatel!$F$450</definedName>
    <definedName name="standard_indicator_level2">Ziadatel!$F$438</definedName>
    <definedName name="standard_indicator_level3">Ziadatel!$F$439</definedName>
    <definedName name="standard_indicator_level4">Ziadatel!$F$440</definedName>
    <definedName name="standard_indicator_level5">Ziadatel!$F$441</definedName>
    <definedName name="standard_indicator_level6">Ziadatel!$F$442</definedName>
    <definedName name="standard_indicator_level7">Ziadatel!$F$443</definedName>
    <definedName name="standard_indicator_level8">Ziadatel!$F$444</definedName>
    <definedName name="standard_indicator_level9">Ziadatel!$F$445</definedName>
    <definedName name="standard_indicator_measurement1">Ziadatel!$I$437</definedName>
    <definedName name="standard_indicator_measurement10">Ziadatel!$I$446</definedName>
    <definedName name="standard_indicator_measurement11">Ziadatel!$I$447</definedName>
    <definedName name="standard_indicator_measurement12">Ziadatel!$I$448</definedName>
    <definedName name="standard_indicator_measurement13">Ziadatel!$I$449</definedName>
    <definedName name="standard_indicator_measurement14">Ziadatel!$I$450</definedName>
    <definedName name="standard_indicator_measurement2">Ziadatel!$I$438</definedName>
    <definedName name="standard_indicator_measurement3">Ziadatel!$I$439</definedName>
    <definedName name="standard_indicator_measurement4">Ziadatel!$I$440</definedName>
    <definedName name="standard_indicator_measurement5">Ziadatel!$I$441</definedName>
    <definedName name="standard_indicator_measurement6">Ziadatel!$I$442</definedName>
    <definedName name="standard_indicator_measurement7">Ziadatel!$I$443</definedName>
    <definedName name="standard_indicator_measurement8">Ziadatel!$I$444</definedName>
    <definedName name="standard_indicator_measurement9">Ziadatel!$I$445</definedName>
    <definedName name="standard_indicator_target1">Ziadatel!$H$437</definedName>
    <definedName name="standard_indicator_target10">Ziadatel!$H$446</definedName>
    <definedName name="standard_indicator_target11">Ziadatel!$H$447</definedName>
    <definedName name="standard_indicator_target12">Ziadatel!$H$448</definedName>
    <definedName name="standard_indicator_target13">Ziadatel!$H$449</definedName>
    <definedName name="standard_indicator_target14">Ziadatel!$H$450</definedName>
    <definedName name="standard_indicator_target2">Ziadatel!$H$438</definedName>
    <definedName name="standard_indicator_target3">Ziadatel!$H$439</definedName>
    <definedName name="standard_indicator_target4">Ziadatel!$H$440</definedName>
    <definedName name="standard_indicator_target5">Ziadatel!$H$441</definedName>
    <definedName name="standard_indicator_target6">Ziadatel!$H$442</definedName>
    <definedName name="standard_indicator_target7">Ziadatel!$H$443</definedName>
    <definedName name="standard_indicator_target8">Ziadatel!$H$444</definedName>
    <definedName name="standard_indicator_target9">Ziadatel!$H$445</definedName>
    <definedName name="standard_indicator_type1">Ziadatel!$E$437</definedName>
    <definedName name="standard_indicator_type10">Ziadatel!$E$446</definedName>
    <definedName name="standard_indicator_type11">Ziadatel!$E$447</definedName>
    <definedName name="standard_indicator_type12">Ziadatel!$E$448</definedName>
    <definedName name="standard_indicator_type13">Ziadatel!$E$449</definedName>
    <definedName name="standard_indicator_type14">Ziadatel!$E$450</definedName>
    <definedName name="standard_indicator_type2">Ziadatel!$E$438</definedName>
    <definedName name="standard_indicator_type3">Ziadatel!$E$439</definedName>
    <definedName name="standard_indicator_type4">Ziadatel!$E$440</definedName>
    <definedName name="standard_indicator_type5">Ziadatel!$E$441</definedName>
    <definedName name="standard_indicator_type6">Ziadatel!$E$442</definedName>
    <definedName name="standard_indicator_type7">Ziadatel!$E$443</definedName>
    <definedName name="standard_indicator_type8">Ziadatel!$E$444</definedName>
    <definedName name="standard_indicator_type9">Ziadatel!$E$445</definedName>
    <definedName name="standard_indicator1">Ziadatel!$C$437</definedName>
    <definedName name="standard_indicator10">Ziadatel!$C$446</definedName>
    <definedName name="standard_indicator11">Ziadatel!$C$447</definedName>
    <definedName name="standard_indicator12">Ziadatel!$C$448</definedName>
    <definedName name="standard_indicator13">Ziadatel!$C$449</definedName>
    <definedName name="standard_indicator14">Ziadatel!$C$450</definedName>
    <definedName name="standard_indicator2">Ziadatel!$C$438</definedName>
    <definedName name="standard_indicator3">Ziadatel!$C$439</definedName>
    <definedName name="standard_indicator4">Ziadatel!$C$440</definedName>
    <definedName name="standard_indicator5">Ziadatel!$C$441</definedName>
    <definedName name="standard_indicator6">Ziadatel!$C$442</definedName>
    <definedName name="standard_indicator7">Ziadatel!$C$443</definedName>
    <definedName name="standard_indicator8">Ziadatel!$C$444</definedName>
    <definedName name="standard_indicator9">Ziadatel!$C$445</definedName>
    <definedName name="state_budget_contribution">Ziadatel!$K$702</definedName>
    <definedName name="statutory_name1">Ziadatel!$D$977</definedName>
    <definedName name="statutory_name2">Ziadatel!$H$977</definedName>
    <definedName name="statutory_position1">Ziadatel!$D$981</definedName>
    <definedName name="statutory_position2">Ziadatel!$H$981</definedName>
    <definedName name="statutory_signature_day1">Ziadatel!$D$984</definedName>
    <definedName name="statutory_signature_day2">Ziadatel!$H$984</definedName>
    <definedName name="statutory_signature_month1">Ziadatel!$E$984</definedName>
    <definedName name="statutory_signature_month2">Ziadatel!$I$984</definedName>
    <definedName name="statutory_signature_year1">Ziadatel!$F$984</definedName>
    <definedName name="statutory_signature_year2">Ziadatel!$J$984</definedName>
    <definedName name="submitted_annex1">Ziadatel!$L$914</definedName>
    <definedName name="submitted_annex2">Ziadatel!$L$915</definedName>
    <definedName name="submitted_annex3">Ziadatel!$L$916</definedName>
    <definedName name="submitted_annex4">Ziadatel!$L$917</definedName>
    <definedName name="submitted_annex5">Ziadatel!$L$918</definedName>
    <definedName name="submitted_annex6">Ziadatel!$L$919</definedName>
    <definedName name="submitted_annex7">Ziadatel!$L$920</definedName>
    <definedName name="submitted_annex8">Ziadatel!$L$921</definedName>
    <definedName name="Target_Group_List">Lists!$Z$2:$Z$12</definedName>
    <definedName name="target_groups_intermeds_benefic_table">Lists!$AB$2:$AD$66</definedName>
    <definedName name="target_groups_table">Lists!$Z$2:$AA$12</definedName>
    <definedName name="TG_age">Lists!$AB$3:$AB$5</definedName>
    <definedName name="TG_Beneficiary1">Ziadatel!$I$517</definedName>
    <definedName name="TG_Beneficiary2">Ziadatel!$I$519</definedName>
    <definedName name="TG_Beneficiary3">Ziadatel!$I$521</definedName>
    <definedName name="TG_business">Lists!$AB$7:$AB$9</definedName>
    <definedName name="TG_category1">Ziadatel!$C$517</definedName>
    <definedName name="TG_category2">Ziadatel!$C$519</definedName>
    <definedName name="TG_category3">Ziadatel!$C$521</definedName>
    <definedName name="TG_culture">Lists!$AB$11:$AB$13</definedName>
    <definedName name="TG_education">Lists!$AB$15:$AB$20</definedName>
    <definedName name="TG_general">Lists!$AB$61:$AB$66</definedName>
    <definedName name="TG_health">Lists!$AB$22:$AB$26</definedName>
    <definedName name="TG_Intermediary1">Ziadatel!$H$517</definedName>
    <definedName name="TG_Intermediary2">Ziadatel!$H$519</definedName>
    <definedName name="TG_Intermediary3">Ziadatel!$H$521</definedName>
    <definedName name="TG_justice">Lists!$AB$28:$AB$37</definedName>
    <definedName name="TG_migration">Lists!$AB$39:$AB$41</definedName>
    <definedName name="TG_minority">Lists!$AB$43:$AB$49</definedName>
    <definedName name="TG_policy">Lists!$AB$51:$AB$53</definedName>
    <definedName name="TG_specification1">Ziadatel!$E$517</definedName>
    <definedName name="TG_specification2">Ziadatel!$E$519</definedName>
    <definedName name="TG_specification3">Ziadatel!$E$521</definedName>
    <definedName name="TG_work">Lists!$AB$55:$AB$59</definedName>
    <definedName name="title_annex1">Ziadatel!$C$914</definedName>
    <definedName name="title_annex2">Ziadatel!$C$915</definedName>
    <definedName name="title_annex3">Ziadatel!$C$916</definedName>
    <definedName name="title_annex4">Ziadatel!$C$917</definedName>
    <definedName name="title_annex5">Ziadatel!$C$918</definedName>
    <definedName name="title_annex6">Ziadatel!$C$919</definedName>
    <definedName name="title_annex7">Ziadatel!$C$920</definedName>
    <definedName name="title_annex8">Ziadatel!$C$921</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Ziadatel!$F$690</definedName>
    <definedName name="total_eligible_cash_expenditure_partner1">Ziadatel!$G$690</definedName>
    <definedName name="total_eligible_cash_expenditure_partner2">Ziadatel!$H$690</definedName>
    <definedName name="total_eligible_cash_expenditure_partner3">Ziadatel!$I$690</definedName>
    <definedName name="total_eligible_cash_expenditure_partner4">Ziadatel!$J$690</definedName>
    <definedName name="total_eligible_cash_expenditure_total">Ziadatel!$K$690</definedName>
    <definedName name="total_eligible_expenditure_applicant">Ziadatel!$F$691</definedName>
    <definedName name="total_eligible_expenditure_partner1">Ziadatel!$G$691</definedName>
    <definedName name="total_eligible_expenditure_partner2">Ziadatel!$H$691</definedName>
    <definedName name="total_eligible_expenditure_partner3">Ziadatel!$I$691</definedName>
    <definedName name="total_eligible_expenditure_partner4">Ziadatel!$J$691</definedName>
    <definedName name="total_eligible_expenditure_total">Ziadatel!$K$691</definedName>
    <definedName name="Type_Of_Expenditures_Column">Rozpocet!$G$10:$G$109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K692" i="1" l="1"/>
  <c r="J875" i="1" l="1"/>
  <c r="B98" i="28" l="1"/>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K2" i="1" l="1"/>
  <c r="AZ23" i="27" l="1"/>
  <c r="L458" i="1" l="1" a="1"/>
  <c r="L458" i="1" s="1"/>
  <c r="L459" i="1" a="1"/>
  <c r="L459" i="1" s="1"/>
  <c r="L460" i="1" a="1"/>
  <c r="L460" i="1" s="1"/>
  <c r="L461" i="1" a="1"/>
  <c r="L461" i="1" s="1"/>
  <c r="L462" i="1" a="1"/>
  <c r="L462" i="1" s="1"/>
  <c r="L463" i="1" a="1"/>
  <c r="L463" i="1" s="1"/>
  <c r="L464" i="1" a="1"/>
  <c r="L464" i="1" s="1"/>
  <c r="L457" i="1" a="1"/>
  <c r="L457" i="1" l="1"/>
  <c r="K698" i="1"/>
  <c r="J590" i="1" l="1"/>
  <c r="H590" i="1"/>
  <c r="F590" i="1"/>
  <c r="D590" i="1"/>
  <c r="L480" i="1" l="1"/>
  <c r="L481" i="1"/>
  <c r="L482" i="1"/>
  <c r="L483" i="1"/>
  <c r="L484" i="1"/>
  <c r="L485" i="1"/>
  <c r="B2" i="29" l="1"/>
  <c r="K694" i="1"/>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2" i="1"/>
  <c r="C98" i="28" s="1"/>
  <c r="L713" i="1"/>
  <c r="C99" i="28" s="1"/>
  <c r="L714" i="1"/>
  <c r="C100" i="28" s="1"/>
  <c r="L715" i="1"/>
  <c r="C101" i="28" s="1"/>
  <c r="L716" i="1"/>
  <c r="C102" i="28" s="1"/>
  <c r="L717" i="1"/>
  <c r="C103" i="28" s="1"/>
  <c r="L718" i="1"/>
  <c r="C104" i="28" s="1"/>
  <c r="L719" i="1"/>
  <c r="C105" i="28" s="1"/>
  <c r="L720" i="1"/>
  <c r="C106" i="28" s="1"/>
  <c r="L721" i="1"/>
  <c r="C107" i="28" s="1"/>
  <c r="L722" i="1"/>
  <c r="C108" i="28" s="1"/>
  <c r="L723" i="1"/>
  <c r="C109" i="28" s="1"/>
  <c r="L724" i="1"/>
  <c r="C110" i="28" s="1"/>
  <c r="L725" i="1"/>
  <c r="C111" i="28" s="1"/>
  <c r="L726" i="1"/>
  <c r="C112" i="28" s="1"/>
  <c r="L727" i="1"/>
  <c r="C113" i="28" s="1"/>
  <c r="L728" i="1"/>
  <c r="C114" i="28" s="1"/>
  <c r="L729" i="1"/>
  <c r="C115" i="28" s="1"/>
  <c r="L730" i="1"/>
  <c r="C116" i="28" s="1"/>
  <c r="L731" i="1"/>
  <c r="C117" i="28" s="1"/>
  <c r="L732" i="1"/>
  <c r="C118" i="28" s="1"/>
  <c r="L733" i="1"/>
  <c r="C119" i="28" s="1"/>
  <c r="L734" i="1"/>
  <c r="C120" i="28" s="1"/>
  <c r="L735" i="1"/>
  <c r="C121" i="28" s="1"/>
  <c r="L736" i="1"/>
  <c r="C122" i="28" s="1"/>
  <c r="L737" i="1"/>
  <c r="C123" i="28" s="1"/>
  <c r="L738" i="1"/>
  <c r="C124" i="28" s="1"/>
  <c r="L739" i="1"/>
  <c r="C125" i="28" s="1"/>
  <c r="L740" i="1"/>
  <c r="C126" i="28" s="1"/>
  <c r="L741" i="1"/>
  <c r="C127" i="28" s="1"/>
  <c r="L742" i="1"/>
  <c r="C128" i="28" s="1"/>
  <c r="L743" i="1"/>
  <c r="C129" i="28" s="1"/>
  <c r="L744" i="1"/>
  <c r="C130" i="28" s="1"/>
  <c r="L745" i="1"/>
  <c r="C131" i="28" s="1"/>
  <c r="L746" i="1"/>
  <c r="C132" i="28" s="1"/>
  <c r="L747" i="1"/>
  <c r="C133" i="28" s="1"/>
  <c r="L748" i="1"/>
  <c r="C134" i="28" s="1"/>
  <c r="L749" i="1"/>
  <c r="C135" i="28" s="1"/>
  <c r="L750" i="1"/>
  <c r="L711" i="1"/>
  <c r="C97" i="28" s="1"/>
  <c r="K686" i="1"/>
  <c r="K687" i="1"/>
  <c r="K688"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0" i="1" l="1"/>
  <c r="B8" i="29" s="1"/>
  <c r="N407" i="1"/>
  <c r="N381" i="1"/>
  <c r="N352" i="1" l="1"/>
  <c r="N326" i="1"/>
  <c r="N297" i="1"/>
  <c r="N218" i="1"/>
  <c r="N244" i="1"/>
  <c r="N271" i="1"/>
  <c r="N410" i="1"/>
  <c r="N384" i="1"/>
  <c r="N355" i="1"/>
  <c r="N329" i="1"/>
  <c r="N300" i="1"/>
  <c r="N274" i="1"/>
  <c r="N247" i="1"/>
  <c r="N221" i="1"/>
  <c r="N29" i="1"/>
  <c r="N26" i="1"/>
  <c r="N20" i="1"/>
  <c r="N23" i="1"/>
  <c r="I521" i="1"/>
  <c r="I519" i="1"/>
  <c r="I517" i="1"/>
  <c r="H521" i="1"/>
  <c r="H519" i="1"/>
  <c r="H517" i="1"/>
  <c r="L479" i="1"/>
  <c r="L442" i="1" a="1"/>
  <c r="L442" i="1" s="1"/>
  <c r="L443" i="1" a="1"/>
  <c r="L443" i="1" s="1"/>
  <c r="L444" i="1" a="1"/>
  <c r="L444" i="1" s="1"/>
  <c r="L445" i="1" a="1"/>
  <c r="L445" i="1" s="1"/>
  <c r="L446" i="1" a="1"/>
  <c r="L446" i="1" s="1"/>
  <c r="L447" i="1" a="1"/>
  <c r="L447" i="1" s="1"/>
  <c r="L448" i="1" a="1"/>
  <c r="L448" i="1" s="1"/>
  <c r="L449" i="1" a="1"/>
  <c r="L449" i="1" s="1"/>
  <c r="L450" i="1" a="1"/>
  <c r="L450" i="1" s="1"/>
  <c r="E458" i="1" a="1"/>
  <c r="F459" i="1" a="1"/>
  <c r="E462" i="1" a="1"/>
  <c r="F458" i="1" a="1"/>
  <c r="E461" i="1" a="1"/>
  <c r="F462" i="1" a="1"/>
  <c r="E460" i="1" a="1"/>
  <c r="F461" i="1" a="1"/>
  <c r="E464" i="1" a="1"/>
  <c r="E459" i="1" a="1"/>
  <c r="F460" i="1" a="1"/>
  <c r="F464" i="1" a="1"/>
  <c r="L441" i="1" a="1"/>
  <c r="L440" i="1" a="1"/>
  <c r="L439" i="1" a="1"/>
  <c r="L438" i="1" a="1"/>
  <c r="F464" i="1" l="1"/>
  <c r="F460" i="1"/>
  <c r="E459" i="1"/>
  <c r="E464" i="1"/>
  <c r="F461" i="1"/>
  <c r="E460" i="1"/>
  <c r="F462" i="1"/>
  <c r="E461" i="1"/>
  <c r="F458" i="1"/>
  <c r="E462" i="1"/>
  <c r="F459" i="1"/>
  <c r="E458" i="1"/>
  <c r="L441" i="1"/>
  <c r="L439" i="1"/>
  <c r="L440" i="1"/>
  <c r="L438" i="1"/>
  <c r="L437" i="1" a="1"/>
  <c r="L437"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6" i="1"/>
  <c r="K695"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0" i="1"/>
  <c r="I900" i="1"/>
  <c r="H900" i="1"/>
  <c r="G900" i="1"/>
  <c r="F900" i="1"/>
  <c r="K899" i="1"/>
  <c r="K898" i="1"/>
  <c r="K897" i="1"/>
  <c r="K896" i="1"/>
  <c r="K895" i="1"/>
  <c r="K894" i="1"/>
  <c r="K893" i="1"/>
  <c r="K892" i="1"/>
  <c r="J889" i="1"/>
  <c r="I889" i="1"/>
  <c r="H889" i="1"/>
  <c r="G889" i="1"/>
  <c r="F889" i="1"/>
  <c r="K888" i="1"/>
  <c r="K887" i="1"/>
  <c r="K886" i="1"/>
  <c r="K885" i="1"/>
  <c r="K884" i="1"/>
  <c r="K883" i="1"/>
  <c r="K882" i="1"/>
  <c r="K881" i="1"/>
  <c r="H849" i="1"/>
  <c r="H848" i="1"/>
  <c r="H847" i="1"/>
  <c r="H846" i="1"/>
  <c r="H845" i="1"/>
  <c r="H844" i="1"/>
  <c r="H843" i="1"/>
  <c r="K685" i="1"/>
  <c r="H43" i="28" s="1"/>
  <c r="K683" i="1"/>
  <c r="H7" i="28" s="1"/>
  <c r="J682" i="1"/>
  <c r="J690" i="1" s="1"/>
  <c r="J691" i="1" s="1"/>
  <c r="J689" i="1" s="1"/>
  <c r="J589" i="1" s="1"/>
  <c r="I682" i="1"/>
  <c r="I690" i="1" s="1"/>
  <c r="I691" i="1" s="1"/>
  <c r="I689" i="1" s="1"/>
  <c r="H589" i="1" s="1"/>
  <c r="H682" i="1"/>
  <c r="H690" i="1" s="1"/>
  <c r="H691" i="1" s="1"/>
  <c r="H689" i="1" s="1"/>
  <c r="F589" i="1" s="1"/>
  <c r="G682" i="1"/>
  <c r="F682" i="1"/>
  <c r="F690" i="1" s="1"/>
  <c r="J494" i="1"/>
  <c r="B15" i="1"/>
  <c r="B11" i="1"/>
  <c r="C2" i="1"/>
  <c r="E449" i="1" a="1"/>
  <c r="F449" i="1" a="1"/>
  <c r="E447" i="1" a="1"/>
  <c r="E448" i="1" a="1"/>
  <c r="F450" i="1" a="1"/>
  <c r="E450" i="1" a="1"/>
  <c r="F447" i="1" a="1"/>
  <c r="F448" i="1" a="1"/>
  <c r="E443" i="1" a="1"/>
  <c r="F442" i="1" a="1"/>
  <c r="E444" i="1" a="1"/>
  <c r="F446" i="1" a="1"/>
  <c r="F443" i="1" a="1"/>
  <c r="E445" i="1" a="1"/>
  <c r="E446" i="1" a="1"/>
  <c r="E442" i="1" a="1"/>
  <c r="F444" i="1" a="1"/>
  <c r="F445" i="1" a="1"/>
  <c r="E463" i="1" a="1"/>
  <c r="F440" i="1" a="1"/>
  <c r="F441" i="1" a="1"/>
  <c r="E440" i="1" a="1"/>
  <c r="F463" i="1" a="1"/>
  <c r="E441" i="1" a="1"/>
  <c r="E457" i="1" a="1"/>
  <c r="F457" i="1" a="1"/>
  <c r="E439" i="1" a="1"/>
  <c r="F439" i="1" a="1"/>
  <c r="F438" i="1" a="1"/>
  <c r="E438" i="1" a="1"/>
  <c r="F437" i="1" a="1"/>
  <c r="E437" i="1" a="1"/>
  <c r="H4" i="28" l="1"/>
  <c r="F691"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3" i="1"/>
  <c r="E463" i="1"/>
  <c r="F457" i="1"/>
  <c r="E457" i="1"/>
  <c r="J3" i="12"/>
  <c r="H42" i="28"/>
  <c r="H41" i="28"/>
  <c r="K900" i="1"/>
  <c r="K889"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2" i="1"/>
  <c r="G690" i="1"/>
  <c r="G691" i="1" s="1"/>
  <c r="G689" i="1" s="1"/>
  <c r="D589" i="1" s="1"/>
  <c r="H50" i="28"/>
  <c r="E437" i="1"/>
  <c r="E439" i="1"/>
  <c r="E441" i="1"/>
  <c r="E443" i="1"/>
  <c r="E445" i="1"/>
  <c r="E447" i="1"/>
  <c r="F437" i="1"/>
  <c r="F439" i="1"/>
  <c r="F441" i="1"/>
  <c r="F443" i="1"/>
  <c r="F445" i="1"/>
  <c r="F447" i="1"/>
  <c r="F449" i="1"/>
  <c r="E438" i="1"/>
  <c r="E440" i="1"/>
  <c r="E442" i="1"/>
  <c r="E444" i="1"/>
  <c r="E446" i="1"/>
  <c r="E448" i="1"/>
  <c r="E449" i="1"/>
  <c r="E450" i="1"/>
  <c r="F438" i="1"/>
  <c r="F440" i="1"/>
  <c r="F442" i="1"/>
  <c r="F444" i="1"/>
  <c r="F446" i="1"/>
  <c r="F448" i="1"/>
  <c r="F450" i="1"/>
  <c r="K691" i="1" l="1"/>
  <c r="K690" i="1"/>
  <c r="K699" i="1" s="1"/>
  <c r="F689"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89" i="1"/>
  <c r="B7" i="29" s="1"/>
  <c r="K697"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1" i="1" l="1"/>
  <c r="K702" i="1" s="1"/>
  <c r="K693"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5" i="29" l="1"/>
  <c r="B4" i="29"/>
  <c r="B3" i="29"/>
  <c r="N691" i="1" l="1" a="1"/>
  <c r="N691" i="1" s="1"/>
  <c r="N682" i="1" a="1"/>
  <c r="N682" i="1" s="1"/>
  <c r="N686" i="1" a="1"/>
  <c r="N686" i="1" s="1"/>
  <c r="N689" i="1" a="1"/>
  <c r="N689" i="1" s="1"/>
  <c r="N681" i="1"/>
  <c r="N687" i="1" a="1"/>
  <c r="N687" i="1" s="1"/>
  <c r="N690" i="1" a="1"/>
  <c r="N690" i="1" s="1"/>
  <c r="N685" i="1" a="1"/>
  <c r="N685" i="1" s="1"/>
  <c r="N683" i="1" a="1"/>
  <c r="N683" i="1" s="1"/>
  <c r="N688" i="1" a="1"/>
  <c r="N688" i="1" s="1"/>
  <c r="N684" i="1" a="1"/>
  <c r="N684" i="1" s="1"/>
</calcChain>
</file>

<file path=xl/comments1.xml><?xml version="1.0" encoding="utf-8"?>
<comments xmlns="http://schemas.openxmlformats.org/spreadsheetml/2006/main">
  <authors>
    <author>Mojzis JaroslavX</author>
  </authors>
  <commentList>
    <comment ref="C684"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<sst xmlns="http://schemas.openxmlformats.org/spreadsheetml/2006/main" count="2702" uniqueCount="1544">
  <si>
    <t>5.1.6.</t>
  </si>
  <si>
    <t>5.1.7.</t>
  </si>
  <si>
    <t>5.1.8.</t>
  </si>
  <si>
    <t>N/A</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</si>
  <si>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</si>
  <si>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</si>
  <si>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</si>
  <si>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</si>
  <si>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</si>
  <si>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</si>
  <si>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</si>
  <si>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</si>
  <si>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</si>
  <si>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</si>
  <si>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</si>
  <si>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</si>
  <si>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</si>
  <si>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</si>
  <si>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</si>
  <si>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</si>
  <si>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</si>
  <si>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</si>
  <si>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</si>
  <si>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</si>
  <si>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NGO:</t>
  </si>
  <si>
    <t>Name</t>
  </si>
  <si>
    <t>Skratka</t>
  </si>
  <si>
    <t>5.1.1.</t>
  </si>
  <si>
    <t>5.1.2.</t>
  </si>
  <si>
    <t>5.1.3.</t>
  </si>
  <si>
    <t>5.1.4.</t>
  </si>
  <si>
    <t>5.1.5.</t>
  </si>
  <si>
    <t>Partner1</t>
  </si>
  <si>
    <t>Partner2</t>
  </si>
  <si>
    <t>Partner3</t>
  </si>
  <si>
    <t>Partner4</t>
  </si>
  <si>
    <t>y</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</si>
  <si>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</si>
  <si>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</si>
  <si>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</si>
  <si>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</si>
  <si>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</si>
  <si>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</si>
  <si>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</si>
  <si>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</si>
  <si>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</si>
  <si>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</si>
  <si>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</si>
  <si>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</si>
  <si>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</si>
  <si>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</si>
  <si>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</si>
  <si>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</si>
  <si>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</si>
  <si>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</si>
  <si>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</si>
  <si>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</si>
  <si>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</si>
  <si>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</si>
  <si>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</si>
  <si>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</si>
  <si>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</si>
  <si>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</si>
  <si>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</si>
  <si>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</si>
  <si>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</si>
  <si>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</si>
  <si>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</si>
  <si>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</si>
  <si>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</si>
  <si>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</si>
  <si>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</si>
  <si>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</si>
  <si>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</si>
  <si>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</si>
  <si>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</si>
  <si>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</si>
  <si>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+421</t>
  </si>
  <si>
    <t>Business</t>
  </si>
  <si>
    <t>Email:</t>
  </si>
  <si>
    <t>#</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</si>
  <si>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</si>
  <si>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</si>
  <si>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</si>
  <si>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</si>
  <si>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</si>
  <si>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</si>
  <si>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</si>
  <si>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</si>
  <si>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</si>
  <si>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</si>
  <si>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</si>
  <si>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</si>
  <si>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</si>
  <si>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</si>
  <si>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</si>
  <si>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</si>
  <si>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</si>
  <si>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</si>
  <si>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</si>
  <si>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</si>
  <si>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</si>
  <si>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</si>
  <si>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</si>
  <si>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</si>
  <si>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</si>
  <si>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</si>
  <si>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</si>
  <si>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</si>
  <si>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</si>
  <si>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</si>
  <si>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</si>
  <si>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</si>
  <si>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</si>
  <si>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Kraj</t>
  </si>
  <si>
    <t>Okres</t>
  </si>
  <si>
    <t>SGBB</t>
  </si>
  <si>
    <t>SGBA</t>
  </si>
  <si>
    <t>SGKE</t>
  </si>
  <si>
    <t>SGNR</t>
  </si>
  <si>
    <t>SGPO</t>
  </si>
  <si>
    <t>SGTN</t>
  </si>
  <si>
    <t>SGTT</t>
  </si>
  <si>
    <t>SGZA</t>
  </si>
  <si>
    <t>Sektor</t>
  </si>
  <si>
    <t>Government</t>
  </si>
  <si>
    <t>Špecifikácia</t>
  </si>
  <si>
    <t>Public</t>
  </si>
  <si>
    <t>Intergov</t>
  </si>
  <si>
    <t>Private</t>
  </si>
  <si>
    <t>Skratka2</t>
  </si>
  <si>
    <t>Public1</t>
  </si>
  <si>
    <t>Intergov1</t>
  </si>
  <si>
    <t>Private1</t>
  </si>
  <si>
    <t>Slovenská špecifikácia</t>
  </si>
  <si>
    <t>Zdroj informácií</t>
  </si>
  <si>
    <t>eeagrants.sk/norwaygrants.sk</t>
  </si>
  <si>
    <t>eeagrants.org</t>
  </si>
  <si>
    <t>Education</t>
  </si>
  <si>
    <t>Health</t>
  </si>
  <si>
    <t>Energy</t>
  </si>
  <si>
    <t>Projekt sektor</t>
  </si>
  <si>
    <t>Social_Infrastructure</t>
  </si>
  <si>
    <t>Environment</t>
  </si>
  <si>
    <t>Multisector</t>
  </si>
  <si>
    <t>Migration</t>
  </si>
  <si>
    <t>Kód</t>
  </si>
  <si>
    <t>Typy indikátorov</t>
  </si>
  <si>
    <t>Úroveň indikátora</t>
  </si>
  <si>
    <t xml:space="preserve">
</t>
  </si>
  <si>
    <t>Rozpočtové kapitoly</t>
  </si>
  <si>
    <t>Typy výdavkov</t>
  </si>
  <si>
    <t>Krajiny</t>
  </si>
  <si>
    <t>Subjekty</t>
  </si>
  <si>
    <t>Áno/Nie</t>
  </si>
  <si>
    <t>Financovanie</t>
  </si>
  <si>
    <t>Status partnerstva</t>
  </si>
  <si>
    <t xml:space="preserve">Warning - not all activities has been assigned to outputs! Check rows 20 - 28, column G! </t>
  </si>
  <si>
    <t>b. Roma inclusion and empowerment</t>
  </si>
  <si>
    <t>c. Social inclusion of vulnerable groups other than Roma</t>
  </si>
  <si>
    <t>d. Anti-discrimination</t>
  </si>
  <si>
    <t>Policy markers</t>
  </si>
  <si>
    <t xml:space="preserve">Target group </t>
  </si>
  <si>
    <t xml:space="preserve">Intermediary </t>
  </si>
  <si>
    <t xml:space="preserve">End beneficiary </t>
  </si>
  <si>
    <t xml:space="preserve">x </t>
  </si>
  <si>
    <t xml:space="preserve"> </t>
  </si>
  <si>
    <t>x</t>
  </si>
  <si>
    <t>Cieľová skupina</t>
  </si>
  <si>
    <t>TG_age</t>
  </si>
  <si>
    <t>TG_business</t>
  </si>
  <si>
    <t>TG_culture</t>
  </si>
  <si>
    <t>TG_education</t>
  </si>
  <si>
    <t>TG_health</t>
  </si>
  <si>
    <t>TG_justice</t>
  </si>
  <si>
    <t>TG_migration</t>
  </si>
  <si>
    <t>TG_minority</t>
  </si>
  <si>
    <t>TG_policy</t>
  </si>
  <si>
    <t>TG_work</t>
  </si>
  <si>
    <t>TG_general</t>
  </si>
  <si>
    <t>Position</t>
  </si>
  <si>
    <t>Organisation</t>
  </si>
  <si>
    <t>CLT</t>
  </si>
  <si>
    <t>DGV</t>
  </si>
  <si>
    <t>Unit of measurement</t>
  </si>
  <si>
    <t>Source of verification</t>
  </si>
  <si>
    <t>Frequency of reporting</t>
  </si>
  <si>
    <t>Baseline value</t>
  </si>
  <si>
    <t>Baseline year</t>
  </si>
  <si>
    <t>Target value</t>
  </si>
  <si>
    <t>TBD</t>
  </si>
  <si>
    <t>(+100%)</t>
  </si>
  <si>
    <t xml:space="preserve">(+100%)  </t>
  </si>
  <si>
    <t>58.41</t>
  </si>
  <si>
    <t>60.0</t>
  </si>
  <si>
    <t>3,615,897</t>
  </si>
  <si>
    <t>50.0%</t>
  </si>
  <si>
    <t>4,000,000</t>
  </si>
  <si>
    <t>(+15%)</t>
  </si>
  <si>
    <t>(+20%)</t>
  </si>
  <si>
    <t>(+2)</t>
  </si>
  <si>
    <t>≥50%</t>
  </si>
  <si>
    <t>TBD1</t>
  </si>
  <si>
    <t>TBD5</t>
  </si>
  <si>
    <t>2022, 2024</t>
  </si>
  <si>
    <t xml:space="preserve">TBD </t>
  </si>
  <si>
    <t>20.0%</t>
  </si>
  <si>
    <t>40.0%</t>
  </si>
  <si>
    <t>0.0%</t>
  </si>
  <si>
    <t>33.30%</t>
  </si>
  <si>
    <t>62.02</t>
  </si>
  <si>
    <t>Transparency International CPI</t>
  </si>
  <si>
    <t>Programy</t>
  </si>
  <si>
    <t>Skratky</t>
  </si>
  <si>
    <t>LDI</t>
  </si>
  <si>
    <t>Outcomes</t>
  </si>
  <si>
    <t>outcomes_CLT</t>
  </si>
  <si>
    <t>outcomes_LDI</t>
  </si>
  <si>
    <t>outcomes_DGV</t>
  </si>
  <si>
    <t>Outputs</t>
  </si>
  <si>
    <t>CLT_OTC1</t>
  </si>
  <si>
    <t>CLT_OTC2</t>
  </si>
  <si>
    <t>DGV_OTC1</t>
  </si>
  <si>
    <t>Indikátory</t>
  </si>
  <si>
    <t>DGV_OTC2</t>
  </si>
  <si>
    <t>DGV_OTC3</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</si>
  <si>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</si>
  <si>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</si>
  <si>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</si>
  <si>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</si>
  <si>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</si>
  <si>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</si>
  <si>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</si>
  <si>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</si>
  <si>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</si>
  <si>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</si>
  <si>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</si>
  <si>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</si>
  <si>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</si>
  <si>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</si>
  <si>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</si>
  <si>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</si>
  <si>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5.1.9.</t>
  </si>
  <si>
    <t>5.1.10.</t>
  </si>
  <si>
    <t>5.1.11.</t>
  </si>
  <si>
    <t>5.1.12.</t>
  </si>
  <si>
    <t>5.1.13.</t>
  </si>
  <si>
    <t>Indikátory publicity</t>
  </si>
  <si>
    <t>5.1.14.</t>
  </si>
  <si>
    <t>Typ rizika</t>
  </si>
  <si>
    <t>Pravdepodobnosť rizika</t>
  </si>
  <si>
    <t>Dopad rizika</t>
  </si>
  <si>
    <t>Odpoveď na riziko</t>
  </si>
  <si>
    <t>Skóre rizika</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</si>
  <si>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</si>
  <si>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</si>
  <si>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</si>
  <si>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</si>
  <si>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</si>
  <si>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</si>
  <si>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</si>
  <si>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</si>
  <si>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</si>
  <si>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</si>
  <si>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</si>
  <si>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</si>
  <si>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</si>
  <si>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</si>
  <si>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</si>
  <si>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Milestone</t>
  </si>
  <si>
    <t>Varianty rizika</t>
  </si>
  <si>
    <t>Klasifikácia míľnikov</t>
  </si>
  <si>
    <t>Dôležitosť míľnikova</t>
  </si>
  <si>
    <t>Míľniky - termíny</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</si>
  <si>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</si>
  <si>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</si>
  <si>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</si>
  <si>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</si>
  <si>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</si>
  <si>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</si>
  <si>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</si>
  <si>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</si>
  <si>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</si>
  <si>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</si>
  <si>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</si>
  <si>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</si>
  <si>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</si>
  <si>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</si>
  <si>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</si>
  <si>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</si>
  <si>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</si>
  <si>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</si>
  <si>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</si>
  <si>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</si>
  <si>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</si>
  <si>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</si>
  <si>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</si>
  <si>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</si>
  <si>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</si>
  <si>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</si>
  <si>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</si>
  <si>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</si>
  <si>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</si>
  <si>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</si>
  <si>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</si>
  <si>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</si>
  <si>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</si>
  <si>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</si>
  <si>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</si>
  <si>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</si>
  <si>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</si>
  <si>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</si>
  <si>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</si>
  <si>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</si>
  <si>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</si>
  <si>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</si>
  <si>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Nepriame náklady - výber metódy</t>
  </si>
  <si>
    <t>Maximálna výška grantu</t>
  </si>
  <si>
    <t>Minimálna výška grantu</t>
  </si>
  <si>
    <t>5.1.15.</t>
  </si>
  <si>
    <t>5.1.16.</t>
  </si>
  <si>
    <t>5.1.17.</t>
  </si>
  <si>
    <t>Typ výskumu</t>
  </si>
  <si>
    <t>natural_sciences_fields</t>
  </si>
  <si>
    <t>engineering_field</t>
  </si>
  <si>
    <t>medical_fields</t>
  </si>
  <si>
    <t>agriculture_fields</t>
  </si>
  <si>
    <t>social_fields</t>
  </si>
  <si>
    <t>humanities_fields</t>
  </si>
  <si>
    <t>Akademická oblasť</t>
  </si>
  <si>
    <t>Disciplíny</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</si>
  <si>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</si>
  <si>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</si>
  <si>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</si>
  <si>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</si>
  <si>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</si>
  <si>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</si>
  <si>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</si>
  <si>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</si>
  <si>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</si>
  <si>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</si>
  <si>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</si>
  <si>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</si>
  <si>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</si>
  <si>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</si>
  <si>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</si>
  <si>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</si>
  <si>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</si>
  <si>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</si>
  <si>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</si>
  <si>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</si>
  <si>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</si>
  <si>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</si>
  <si>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</si>
  <si>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</si>
  <si>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</si>
  <si>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</si>
  <si>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</si>
  <si>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</si>
  <si>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</si>
  <si>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</si>
  <si>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</si>
  <si>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</si>
  <si>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</si>
  <si>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</si>
  <si>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</si>
  <si>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</si>
  <si>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</si>
  <si>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</si>
  <si>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</si>
  <si>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</si>
  <si>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</si>
  <si>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</si>
  <si>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</si>
  <si>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</si>
  <si>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</si>
  <si>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</si>
  <si>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</si>
  <si>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</si>
  <si>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</si>
  <si>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</si>
  <si>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</si>
  <si>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</si>
  <si>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</si>
  <si>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</si>
  <si>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</si>
  <si>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</si>
  <si>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</si>
  <si>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</si>
  <si>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</si>
  <si>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</si>
  <si>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</si>
  <si>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</si>
  <si>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</si>
  <si>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</si>
  <si>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</si>
  <si>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</si>
  <si>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</si>
  <si>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</si>
  <si>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</si>
  <si>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</si>
  <si>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</si>
  <si>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</si>
  <si>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</si>
  <si>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</si>
  <si>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</si>
  <si>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</si>
  <si>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</si>
  <si>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</si>
  <si>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</si>
  <si>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</si>
  <si>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</si>
  <si>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</si>
  <si>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</si>
  <si>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</si>
  <si>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</si>
  <si>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</si>
  <si>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</si>
  <si>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</si>
  <si>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</si>
  <si>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</si>
  <si>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</si>
  <si>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</si>
  <si>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</si>
  <si>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</si>
  <si>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</si>
  <si>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</si>
  <si>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</si>
  <si>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</si>
  <si>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</si>
  <si>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</si>
  <si>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</si>
  <si>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</si>
  <si>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</si>
  <si>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</si>
  <si>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</si>
  <si>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</si>
  <si>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</si>
  <si>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</si>
  <si>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</si>
  <si>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</si>
  <si>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</si>
  <si>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</si>
  <si>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</si>
  <si>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</si>
  <si>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</si>
  <si>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</si>
  <si>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</si>
  <si>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</si>
  <si>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</si>
  <si>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</si>
  <si>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</si>
  <si>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</si>
  <si>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</si>
  <si>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</si>
  <si>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</si>
  <si>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</si>
  <si>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</si>
  <si>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</si>
  <si>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</si>
  <si>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</si>
  <si>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</si>
  <si>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</si>
  <si>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PBL_IND1</t>
  </si>
  <si>
    <t>PBL_IND2</t>
  </si>
  <si>
    <t>PBL_IND3</t>
  </si>
  <si>
    <t>PBL_IND4</t>
  </si>
  <si>
    <t>PBL_IND5</t>
  </si>
  <si>
    <t>PBL_IND6</t>
  </si>
  <si>
    <t>PBL_IND7</t>
  </si>
  <si>
    <t>Štandardná voľba len áno</t>
  </si>
  <si>
    <t>In-kind max</t>
  </si>
  <si>
    <t>Partner4:</t>
  </si>
  <si>
    <t>Partner3:</t>
  </si>
  <si>
    <t>Partner2:</t>
  </si>
  <si>
    <t>Partner1:</t>
  </si>
  <si>
    <t>Duration</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</si>
  <si>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</si>
  <si>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</si>
  <si>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</si>
  <si>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</si>
  <si>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</si>
  <si>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</si>
  <si>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</si>
  <si>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</si>
  <si>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</si>
  <si>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</si>
  <si>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</si>
  <si>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</si>
  <si>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</si>
  <si>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Project grant is too low. You shall increase your costs</t>
  </si>
  <si>
    <t>You have to decrease the reserve</t>
  </si>
  <si>
    <t>Údaje nie sú k dispozícii. Vyplňte prosím bod 2.1.3.</t>
  </si>
  <si>
    <t>Data not available. Please fill in point 2.1.3</t>
  </si>
  <si>
    <t>ISERROR(VLOOKUP(sector_specified;grant_rates_table;2;FALSE))</t>
  </si>
  <si>
    <t>5.1.18.</t>
  </si>
  <si>
    <t>5.1.19.</t>
  </si>
  <si>
    <t>5.1.20.</t>
  </si>
  <si>
    <t>5.2.1.</t>
  </si>
  <si>
    <t>5.2.2.</t>
  </si>
  <si>
    <t>You have to decrease in_kind contributions or increase cash-cofinancing.</t>
  </si>
  <si>
    <t>Musíte znížiť príspevky v naturáliách alebo tvýšiť peňažné spolufinancovanie.</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</si>
  <si>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</si>
  <si>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</si>
  <si>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</si>
  <si>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</si>
  <si>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Grantové miery</t>
  </si>
  <si>
    <t>DGV_OTCB_IND3</t>
  </si>
  <si>
    <t>DGV_OTCB_IND4</t>
  </si>
  <si>
    <t>Verejný sektor</t>
  </si>
  <si>
    <t>Neziskový sektor</t>
  </si>
  <si>
    <t>Súkromný sektor</t>
  </si>
  <si>
    <t>Medzivládny sektor</t>
  </si>
  <si>
    <t>Vláda</t>
  </si>
  <si>
    <t>Regionálny orgán</t>
  </si>
  <si>
    <t>Miestny orgán</t>
  </si>
  <si>
    <t>Verejno-súkromná organizácia</t>
  </si>
  <si>
    <t>Iná verejná organizácia</t>
  </si>
  <si>
    <t>Medzivládna organizácia</t>
  </si>
  <si>
    <t>Mimovládna organizácie (MVO)</t>
  </si>
  <si>
    <t>Sociálny partner</t>
  </si>
  <si>
    <t>Cirkev alebo náboženská spoločnosť</t>
  </si>
  <si>
    <t>Veľký podnik</t>
  </si>
  <si>
    <t>Malý a stredný podnik</t>
  </si>
  <si>
    <t>Mikropodnik</t>
  </si>
  <si>
    <t>Štátna rozpočtová alebo príspevková organizácia</t>
  </si>
  <si>
    <t>Samosprávny kraj</t>
  </si>
  <si>
    <t>Rozpočtová alebo príspevková organizácia samosprávneho kraja</t>
  </si>
  <si>
    <t>Mesto/obec</t>
  </si>
  <si>
    <t>Rozpočtová alebo príspevková organizácia mesta/obce</t>
  </si>
  <si>
    <t>Iná štátna inštitúcia</t>
  </si>
  <si>
    <t>Iná inštitúcia samosprávy</t>
  </si>
  <si>
    <t>Nadácia</t>
  </si>
  <si>
    <t>Občianske združenie</t>
  </si>
  <si>
    <t>Neinvestičný fond</t>
  </si>
  <si>
    <t>Cirkvi a náboženské spoločnosti</t>
  </si>
  <si>
    <t>Nezisková organizácia poskytujúca všeobecne prospešné služby</t>
  </si>
  <si>
    <t>Pozemkové a iné  spoločenstvá</t>
  </si>
  <si>
    <t>Sociálne podniky</t>
  </si>
  <si>
    <t>Odborové organizácie a združenia</t>
  </si>
  <si>
    <t>Organizácie zamestnávateľov</t>
  </si>
  <si>
    <t>Profesijné združenia</t>
  </si>
  <si>
    <t>Iné inštitúcie a skupiny  občianskej spoločnosti</t>
  </si>
  <si>
    <t>Akciová spoločnosť</t>
  </si>
  <si>
    <t>Spoločnosť s ručením obmedzeným</t>
  </si>
  <si>
    <t>Komanditná spoločnosť</t>
  </si>
  <si>
    <t>Verejná obchodná spoločnosť</t>
  </si>
  <si>
    <t>Družstvo</t>
  </si>
  <si>
    <t>Záujmové združenia právnických osôb</t>
  </si>
  <si>
    <t>Iné - uviesť</t>
  </si>
  <si>
    <t>Facebook stránka</t>
  </si>
  <si>
    <t>Tlačené médiá</t>
  </si>
  <si>
    <t>Konferencia / workshop</t>
  </si>
  <si>
    <t>Iné</t>
  </si>
  <si>
    <t>Vzdelávanie</t>
  </si>
  <si>
    <t>Zdravie</t>
  </si>
  <si>
    <t>Vláda a občianska spoločnosť</t>
  </si>
  <si>
    <t>Sociálna infraštruktúra a služby</t>
  </si>
  <si>
    <t>Energia</t>
  </si>
  <si>
    <t>Obchod a inovácie</t>
  </si>
  <si>
    <t>Životné prostredie a zmena klímy</t>
  </si>
  <si>
    <t>Iné viacsektorové</t>
  </si>
  <si>
    <t>Migrácia a azyl</t>
  </si>
  <si>
    <t>Politika vzdelávania a administratívne riadenie</t>
  </si>
  <si>
    <t>Vzdelávacie zariadenia a školenia</t>
  </si>
  <si>
    <t>Vzdelávanie zamestnancov v sektore vzdelávania</t>
  </si>
  <si>
    <t>Základné vzdelanie</t>
  </si>
  <si>
    <t>Základné zručnosti pre mládež a / alebo dospelých</t>
  </si>
  <si>
    <t>Ekvivalent základného vzdelávania pre dospelých</t>
  </si>
  <si>
    <t>Predškolské vzdelávanie</t>
  </si>
  <si>
    <t>Stredoškolské vzdelávanie</t>
  </si>
  <si>
    <t>Odborné vzdelávania</t>
  </si>
  <si>
    <t>Vyššie vzdelávanie</t>
  </si>
  <si>
    <t>Politika v oblasti zdravia a administratívne riadenie</t>
  </si>
  <si>
    <t>Potravinová bezpečnosť</t>
  </si>
  <si>
    <t>Lekárske vzdelávanie</t>
  </si>
  <si>
    <t>Systémy zdravotných údajov</t>
  </si>
  <si>
    <t>Zdravotnícke služby</t>
  </si>
  <si>
    <t>Služby duševného zdravia</t>
  </si>
  <si>
    <t>Služby v oblasti rakoviny</t>
  </si>
  <si>
    <t>Základná zdravotná starostlivosť</t>
  </si>
  <si>
    <t>Základná zdravotná infraštruktúra</t>
  </si>
  <si>
    <t>Kontrola infekčných chorôb</t>
  </si>
  <si>
    <t>Zdravotná výchova</t>
  </si>
  <si>
    <t>Podpora zdravia</t>
  </si>
  <si>
    <t>Kontrola tuberkulózy</t>
  </si>
  <si>
    <t>Rozvoj zdravotníckeho personálu</t>
  </si>
  <si>
    <t>Reprodukčná zdravotná starostlivosť</t>
  </si>
  <si>
    <t>Kontrola sexuálne prenosných ochorení vrátane HIV / AIDS</t>
  </si>
  <si>
    <t>Politika verejného sektora a administratívne riadenie</t>
  </si>
  <si>
    <t>Rodová politika, riadenie a správa</t>
  </si>
  <si>
    <t>Decentralizácia a podpora subnárodnej vlády</t>
  </si>
  <si>
    <t>Protikorupčné organizácie a inštitúcie</t>
  </si>
  <si>
    <t>Právny a súdny rozvoj</t>
  </si>
  <si>
    <t>Transparentnosť</t>
  </si>
  <si>
    <t>Probačné služby</t>
  </si>
  <si>
    <t>Alternatívne spôsoby riešenia sporov</t>
  </si>
  <si>
    <t>Právna pomoc, poradenstvo, liečba a útulky</t>
  </si>
  <si>
    <t>Správa hraníc</t>
  </si>
  <si>
    <t>Boj proti organizovanému zločinu</t>
  </si>
  <si>
    <t>Boj proti obchodovaniu s ľuďmi</t>
  </si>
  <si>
    <t>Prevencia kriminality</t>
  </si>
  <si>
    <t>Polícia</t>
  </si>
  <si>
    <t>Ombudsman</t>
  </si>
  <si>
    <t>Imigrácia</t>
  </si>
  <si>
    <t>Väznice</t>
  </si>
  <si>
    <t>Demokratická účasť a občianska spoločnosť</t>
  </si>
  <si>
    <t>Voľby</t>
  </si>
  <si>
    <t>Médiá a voľný tok informácií</t>
  </si>
  <si>
    <t>Ľudské práva</t>
  </si>
  <si>
    <t>Nenávistné prejavy / trestné činy z nenávisti</t>
  </si>
  <si>
    <t>Domáce a rodovo podmienené násilie</t>
  </si>
  <si>
    <t>Multikultúrne povedomie</t>
  </si>
  <si>
    <t>Organizácie a inštitúcie pre rodovú rovnosť</t>
  </si>
  <si>
    <t>Správa miestnej samosprávy</t>
  </si>
  <si>
    <t>Rozvoj a riadenie miest</t>
  </si>
  <si>
    <t>Budovanie štatistických kapacít</t>
  </si>
  <si>
    <t>Dejiny židovskej kultúry</t>
  </si>
  <si>
    <t>Sociálne / verejnoprospešné služby</t>
  </si>
  <si>
    <t>Politika zamestnanosti a administratívne riadenie</t>
  </si>
  <si>
    <t>Rodová rovnosť v zamestnaní</t>
  </si>
  <si>
    <t>Politika v oblasti bývania a administratívne riadenie</t>
  </si>
  <si>
    <t>Cenovo dostupné bývanie</t>
  </si>
  <si>
    <t>Viacsektorová pomoc pre základné sociálne služby</t>
  </si>
  <si>
    <t>Kultúra a rekreácia</t>
  </si>
  <si>
    <t>Riadenie kultúrneho dedičstva, ochrana a zachovanie</t>
  </si>
  <si>
    <t>Tvorivé a umelecké kultúrne aktivity</t>
  </si>
  <si>
    <t>Sociálny a hospodársky rozvoj prostredníctvom kultúry</t>
  </si>
  <si>
    <t>Sociálne zmiernenie HIV / AIDS</t>
  </si>
  <si>
    <t>Energetická účinnosť</t>
  </si>
  <si>
    <t>Energetická bezpečnosť</t>
  </si>
  <si>
    <t>Energetická politika a administratívne riadenie</t>
  </si>
  <si>
    <t>Energetické vzdelávanie/školenia</t>
  </si>
  <si>
    <t>Výroba energie, obnoviteľné zdroje - viaceré technológie</t>
  </si>
  <si>
    <t>Vodné elektrárne</t>
  </si>
  <si>
    <t>Solárna energia</t>
  </si>
  <si>
    <t>Veterná energia</t>
  </si>
  <si>
    <t>Morská energia</t>
  </si>
  <si>
    <t>Geotermálna energia</t>
  </si>
  <si>
    <t>Bioenergia</t>
  </si>
  <si>
    <t>Hybridná energia</t>
  </si>
  <si>
    <t>Služby a inštitúcie na podporu podnikania</t>
  </si>
  <si>
    <t>Technologické inovácie a rozvoj</t>
  </si>
  <si>
    <t>Modrý rast</t>
  </si>
  <si>
    <t>Zelený rast</t>
  </si>
  <si>
    <t>Sociálne a zdravotné technológie</t>
  </si>
  <si>
    <t>Environmentálna politika a administratívne riadenie</t>
  </si>
  <si>
    <t>Morské a vnútrozemské vodné hospodárstvo</t>
  </si>
  <si>
    <t>Priestorové plánovanie</t>
  </si>
  <si>
    <t>Politika v oblasti zmeny klímy a administratívne riadenie</t>
  </si>
  <si>
    <t>Zmiernenie klimatických zmien</t>
  </si>
  <si>
    <t>Zachytávanie a skladovanie uhlíka</t>
  </si>
  <si>
    <t>Prispôsobenie sa zmene klímy</t>
  </si>
  <si>
    <t>Kontrola znečisťovania ovzdušia</t>
  </si>
  <si>
    <t>Zníženie emisií skleníkových plynov</t>
  </si>
  <si>
    <t>Nebezpečné látky</t>
  </si>
  <si>
    <t>Odpady / Recyklácia</t>
  </si>
  <si>
    <t>Cirkulárna ekonomika</t>
  </si>
  <si>
    <t>Biodiverzita</t>
  </si>
  <si>
    <t>Ohrozené druhy</t>
  </si>
  <si>
    <t>Prevencia/kontrola povodní</t>
  </si>
  <si>
    <t>Prevencia sucha</t>
  </si>
  <si>
    <t>Vzdelávanie v oblasti životného prostredia a zmeny klímy</t>
  </si>
  <si>
    <t>Výskum v oblasti vzdelávania</t>
  </si>
  <si>
    <t>Zdravotnícky výskum</t>
  </si>
  <si>
    <t>Energetický výskum</t>
  </si>
  <si>
    <t>Poľnohospodársky výskum</t>
  </si>
  <si>
    <t>Lesnícky výskum</t>
  </si>
  <si>
    <t>Výskum v oblasti rybolovu</t>
  </si>
  <si>
    <t>Environmentálny výskum</t>
  </si>
  <si>
    <t>Výskumné/vedecké inštitúcie</t>
  </si>
  <si>
    <t>Výskum zmien klímy</t>
  </si>
  <si>
    <t>Výskum zachytávania a skladovania uhlíka</t>
  </si>
  <si>
    <t>Morský výskum</t>
  </si>
  <si>
    <t>Rodový výskum/štúdie</t>
  </si>
  <si>
    <t>Výskum v oblasti zdravia</t>
  </si>
  <si>
    <t>Výskum v oblasti spoločenských vied a humanitných vied</t>
  </si>
  <si>
    <t>Hasičské a záchranné služby</t>
  </si>
  <si>
    <t>Migračná politika a systém administratívneho riadenia</t>
  </si>
  <si>
    <t>Štandardný</t>
  </si>
  <si>
    <t>Projektový</t>
  </si>
  <si>
    <t>Bilaterálny</t>
  </si>
  <si>
    <t>Výstup</t>
  </si>
  <si>
    <t>Výsledok</t>
  </si>
  <si>
    <t>Náklady na zamestnancov pridelených na projekt</t>
  </si>
  <si>
    <t>Cestovné a diéty pre zamestnancov</t>
  </si>
  <si>
    <t>Náklady na nové a použité vybavenie</t>
  </si>
  <si>
    <t>Pozemky a nehnuteľnosti</t>
  </si>
  <si>
    <t>Materiál a zásoby</t>
  </si>
  <si>
    <t>Náklady vyplývajúce z iných zmlúv</t>
  </si>
  <si>
    <t>Náklady vyplývajúce z projektovej zmluvy</t>
  </si>
  <si>
    <t>Bežné výdavky - ostatné</t>
  </si>
  <si>
    <t>Žiadateľ</t>
  </si>
  <si>
    <t>Slovensko</t>
  </si>
  <si>
    <t>Nórsko</t>
  </si>
  <si>
    <t>Island</t>
  </si>
  <si>
    <t>Lichtenštajnsko</t>
  </si>
  <si>
    <t>Ukrajina</t>
  </si>
  <si>
    <t>Česká republika</t>
  </si>
  <si>
    <t>Belgicko</t>
  </si>
  <si>
    <t>Bulharsko</t>
  </si>
  <si>
    <t>Dánsko</t>
  </si>
  <si>
    <t>Estónsko</t>
  </si>
  <si>
    <t>Fínsko</t>
  </si>
  <si>
    <t>Francúzsko</t>
  </si>
  <si>
    <t>Írsko</t>
  </si>
  <si>
    <t>Taliansko</t>
  </si>
  <si>
    <t>cyprus</t>
  </si>
  <si>
    <t>Litva</t>
  </si>
  <si>
    <t>Lotyšsko</t>
  </si>
  <si>
    <t>Luxembursko</t>
  </si>
  <si>
    <t>Maďarsko</t>
  </si>
  <si>
    <t>Nemecko</t>
  </si>
  <si>
    <t>Holandsko</t>
  </si>
  <si>
    <t>Poľsko</t>
  </si>
  <si>
    <t>Portugalsko</t>
  </si>
  <si>
    <t>Rakúsko</t>
  </si>
  <si>
    <t>Rumunsko</t>
  </si>
  <si>
    <t>Grécko</t>
  </si>
  <si>
    <t>Slovinsko</t>
  </si>
  <si>
    <t>Spojene kráľovstvo</t>
  </si>
  <si>
    <t>Španielsko</t>
  </si>
  <si>
    <t>Švédsko</t>
  </si>
  <si>
    <t>Áno</t>
  </si>
  <si>
    <t>Nie</t>
  </si>
  <si>
    <t>Zálohové platby</t>
  </si>
  <si>
    <t>Refundácie</t>
  </si>
  <si>
    <t>Podpísaná partnerská dohoda</t>
  </si>
  <si>
    <t>Podpísaná predbežná dohoda</t>
  </si>
  <si>
    <t>Výmena listov/e-mailov</t>
  </si>
  <si>
    <t>Iné formálne dohody</t>
  </si>
  <si>
    <t>Žiadne formálne dohody doteraz</t>
  </si>
  <si>
    <t>Neuplatňuje sa</t>
  </si>
  <si>
    <t>Relevantný</t>
  </si>
  <si>
    <t>Zásadný</t>
  </si>
  <si>
    <t>Súvisiace s vekom</t>
  </si>
  <si>
    <t>Súvisiace s obchodom</t>
  </si>
  <si>
    <t>Súvisiace s kultúrou</t>
  </si>
  <si>
    <t>Súvisiace so vzdelávaním</t>
  </si>
  <si>
    <t>Súvisiace so zdravím</t>
  </si>
  <si>
    <t>Súvisiace so spravodlivosťou / vnútornými záležitosťami</t>
  </si>
  <si>
    <t>Súvisiace s migráciou</t>
  </si>
  <si>
    <t>Súvisiace so štatútom menšiny</t>
  </si>
  <si>
    <t>Súvisiace s politikou</t>
  </si>
  <si>
    <t>Súvisiace s prácou</t>
  </si>
  <si>
    <t>Všeobecné</t>
  </si>
  <si>
    <t>Deti a mládež (0-17)</t>
  </si>
  <si>
    <t>Mladí dospelí (18-29)</t>
  </si>
  <si>
    <t>Seniori (65+)</t>
  </si>
  <si>
    <t>Podnikatelia</t>
  </si>
  <si>
    <t>MSP (Malé a strední podniky s 10-249 zamestnancami)</t>
  </si>
  <si>
    <t>Veľké podniky</t>
  </si>
  <si>
    <t>Umelci</t>
  </si>
  <si>
    <t>Múzeá ( a iné  inštitúcie výtvarného umenia)</t>
  </si>
  <si>
    <t>Inštitúcie múzických umení</t>
  </si>
  <si>
    <t>Študenti (akéhokoľvek veku)</t>
  </si>
  <si>
    <t>NEETs(nezamestnaní nepokračujúci v procese vzdelávania ani odbornej prípravy)</t>
  </si>
  <si>
    <t>Zamestnanci vzdelávacích inštitúcií (nepedagogickí)</t>
  </si>
  <si>
    <t>Výskumníci/vedci</t>
  </si>
  <si>
    <t>Univerzity/výskumné inštitúcie</t>
  </si>
  <si>
    <t>Lekársky personál</t>
  </si>
  <si>
    <t>Ľudia so zdravotným postihnutím (s výnimkou osôb s problémami duševného zdravia)</t>
  </si>
  <si>
    <t>Ľudia s problémami duševného zdravia</t>
  </si>
  <si>
    <t>Ľudia s prenosnými chorobami (vrátane TBC a HIV / AIDS)</t>
  </si>
  <si>
    <t>Ľudia so závislosťami (alkohol, drogy atď.)</t>
  </si>
  <si>
    <t>Sudcovia</t>
  </si>
  <si>
    <t>Pohraničná stráž</t>
  </si>
  <si>
    <t>Väzenské / probačné úrady / zamestnanci</t>
  </si>
  <si>
    <t>Prokurátori</t>
  </si>
  <si>
    <t xml:space="preserve">Mladiství páchatelia trestných činov </t>
  </si>
  <si>
    <t>Páchatelia trestných činov (vrátane väzňov a páchateľov, ktorým boli udelené alternatívne tresty)</t>
  </si>
  <si>
    <t>Obete trestných činov z nenávisti/nenávistného vyjadrovania</t>
  </si>
  <si>
    <t>Obete domáceho násilia / rodovo podmieneného násilia</t>
  </si>
  <si>
    <t>Obete obchodovania s ľuďmi</t>
  </si>
  <si>
    <t>Orgány / zamestnanci v oblasti azylu</t>
  </si>
  <si>
    <t>Nesprevádzané deti hľadajúce o azyl</t>
  </si>
  <si>
    <t>Žiadatelia o azyl</t>
  </si>
  <si>
    <t>Židovské obyvateľstvo</t>
  </si>
  <si>
    <t>Lesbické, homosexuálne, bisexuálne, transsexuálne, intersexuálne obyvateľstvo (LGBTI)</t>
  </si>
  <si>
    <t>Moslimské obyvateľstvo</t>
  </si>
  <si>
    <t>Rómske obyvateľstvo</t>
  </si>
  <si>
    <t>Rómski mediátori</t>
  </si>
  <si>
    <t>Rusky hovoriace menšiny</t>
  </si>
  <si>
    <t>Iné menšiny</t>
  </si>
  <si>
    <t xml:space="preserve">Politici (na národnej alebo nižšej úrovni) </t>
  </si>
  <si>
    <t>Verejné inštitúcie (na národnej alebo nižšej úrovni)</t>
  </si>
  <si>
    <t>Organizácie občianskej spoločnosti</t>
  </si>
  <si>
    <t>Odbory</t>
  </si>
  <si>
    <t>Inšpektoráty práce</t>
  </si>
  <si>
    <t>Nezamestnaní</t>
  </si>
  <si>
    <t>Zamestnanci / pracovníci</t>
  </si>
  <si>
    <t>Médiá</t>
  </si>
  <si>
    <t>Osoby ohrozené chudobou/chudobní</t>
  </si>
  <si>
    <t>Ženy</t>
  </si>
  <si>
    <t>Muži</t>
  </si>
  <si>
    <t>Široká verejnosť</t>
  </si>
  <si>
    <t>Životné prostredie</t>
  </si>
  <si>
    <t>Podnikanie v oblasti kultúry, kultúrne dedičstvo a kultúrna spolupráca</t>
  </si>
  <si>
    <t xml:space="preserve">Cezhraničná spolupráca / Dobrá správa vecí verejných, zodpovedné inštitúcie, transparentnosť </t>
  </si>
  <si>
    <t>Miestny rozvoj, odstraňovanie chudoby a inklúzia Rómov</t>
  </si>
  <si>
    <t>Zlepšený stav kultúrneho dedičstva</t>
  </si>
  <si>
    <t>Zlepšený prístup k súčasnému umeniu</t>
  </si>
  <si>
    <t>Zlepšená spolupráca medzi prispievateľským a prijímateľským štátom zapojenými do programu</t>
  </si>
  <si>
    <t>Obnovené a revitalizované kultúrne dedičstvo</t>
  </si>
  <si>
    <t>Monitorované a zachované kultúrne dedičstvo</t>
  </si>
  <si>
    <t>Podporenie kapacít kultúrnych aktérov</t>
  </si>
  <si>
    <t>Podporená práca s publikom</t>
  </si>
  <si>
    <t>Podporená bilaterálna kultúrna spolupráca</t>
  </si>
  <si>
    <t>Zvýšená integrita verejnej správy</t>
  </si>
  <si>
    <t>Realizované opatrenia na zvýšenie integrity verejnej správy</t>
  </si>
  <si>
    <t>Zvýšená kvalita justičného systému</t>
  </si>
  <si>
    <t>Zvýšená kvalita trestného stíhania v rodinnom práve</t>
  </si>
  <si>
    <t>Zlepšenie prístupu k spravodlivosti pre obete</t>
  </si>
  <si>
    <t>Zlepšenie slovensko-ukrajinskej inštitucionálnej spolupráce</t>
  </si>
  <si>
    <t>Realizované opatrenia na posilnenie slovensko-ukrajinskej spolupráce</t>
  </si>
  <si>
    <t>Opatrenia posilňujúce slovensko-ukrajinsko-nórsku inštitucionálnu spoluprácu súvisiacu so CBRN (chemickou, biologickou, rádioaktívnou a jadrovou) bezpečnosťou</t>
  </si>
  <si>
    <t>Zvýšené uplatnenie princípu Hodnoty za peniaze vo verejnom obstarávaní</t>
  </si>
  <si>
    <t>Uplatnené kritériá MEAT (ekonomicky najvýhodnejšia ponuka)</t>
  </si>
  <si>
    <t>Zlepšená spolupráca medzi prispievateľským a prijímateľským štátom zapojeným do programu</t>
  </si>
  <si>
    <t>Podporená spolupráca medzi subjektmi v prispievateľských štátoch a prijímateľskom štáte</t>
  </si>
  <si>
    <t>Zvýšené porozumenie rodovej rovnosti</t>
  </si>
  <si>
    <t>Realizované opatrenia zamerané na vzdelávacie aktivity a aktivity zvyšujúce povedomie v oblasti rodovej rovnosti</t>
  </si>
  <si>
    <t>Chránené a podporené obete domáceho a rodovo podmieneného násilia</t>
  </si>
  <si>
    <t>Udržané služby pre obete domáceho a rodovo podmieneného násilia</t>
  </si>
  <si>
    <t>Služby pre obete domáceho a rodovo podmieneného násilia rozšírené alebo zlepšené</t>
  </si>
  <si>
    <t>Služby poskytnuté špecifickým cieľovým skupinám</t>
  </si>
  <si>
    <t>Zlepšená systémová odozva obetiam domáceho a rodovo podmieneného násilia</t>
  </si>
  <si>
    <t>Založené koordinačné a metodologické tímy</t>
  </si>
  <si>
    <t>Inštitúcie vyškolené v oblasti domáceho a rodovo podmieneného násilia</t>
  </si>
  <si>
    <t>Vytvorené špecializované policajné tímy</t>
  </si>
  <si>
    <t>Modernizované policajné zariadenia s cieľom zabezpečiť citlivosť voči obetiam domáceho a rodovo podmieneného násilia</t>
  </si>
  <si>
    <t>Podporená spolupráca medzi subjektmi v prispievateľskom a prijímateľskom štáte</t>
  </si>
  <si>
    <t xml:space="preserve">Ročný počet návštevníkov podporených kultúrnych pamiatok, múzeí a kultúrnych aktivít </t>
  </si>
  <si>
    <t>Hlásený</t>
  </si>
  <si>
    <t>Ročný počet</t>
  </si>
  <si>
    <t>Systém evidencie vstupeniek: predané vstupenky</t>
  </si>
  <si>
    <t>Ročne (VPS)</t>
  </si>
  <si>
    <t xml:space="preserve">Ročné príjmy generované obnovenými pamiatkami (v €) </t>
  </si>
  <si>
    <t xml:space="preserve">Príjmové záznamy prijímateľov </t>
  </si>
  <si>
    <t xml:space="preserve">Ročný počet pamiatok monitorovaných regionálnymi inšpekčnými tímami </t>
  </si>
  <si>
    <t>Záväzný</t>
  </si>
  <si>
    <t xml:space="preserve">Technické správy z pamiatok, fotografie, výročné správy o projektoch </t>
  </si>
  <si>
    <t xml:space="preserve">Počet vytvorených pracovných miest (rozdelené podľa pohlavia a veku) </t>
  </si>
  <si>
    <t>Počet</t>
  </si>
  <si>
    <t xml:space="preserve">Mzdové záznamy, zamestnanecké zmluvy </t>
  </si>
  <si>
    <t>Počet obnovených a revitalizovaných kultúrnych pamiatok</t>
  </si>
  <si>
    <t>Záznamy z obnovovacích prác, monitorovania na mieste</t>
  </si>
  <si>
    <t>Polročne</t>
  </si>
  <si>
    <t xml:space="preserve">Počet vytvorených a realizovaných podnikateľských stratégií </t>
  </si>
  <si>
    <t>Monitorovania na mieste, priebežné správy o projektoch</t>
  </si>
  <si>
    <t>Počet partnerských dohôd uzavretých medzi vlastníkmi kultúrnych pamiatok a inými aktérmi</t>
  </si>
  <si>
    <t>Priebežné správy o projektoch, projektové webové stránky</t>
  </si>
  <si>
    <t>Počet projektov,  ktoré boli konzultované s miestnou komunitou</t>
  </si>
  <si>
    <t>Projektové webové stránky prezenčné listiny, záznamy zo stretnutí, evidencia prijímateľa</t>
  </si>
  <si>
    <t>Počet revitalizačných projektov podporujúcich kultúru a dedičstvo menšín</t>
  </si>
  <si>
    <t>Počet zrealizovaných bilaterálnych seminárov</t>
  </si>
  <si>
    <t>Prezenčné listiny, fotografie, Priebežné správy o projekte</t>
  </si>
  <si>
    <t xml:space="preserve">Počet zriadených centier stavebných remesiel </t>
  </si>
  <si>
    <t xml:space="preserve">Priebežné správy o projekte, evidencia prijímateľa </t>
  </si>
  <si>
    <t>Počet vyškolených remeselníkov (rozdelené podľa pohlavia)</t>
  </si>
  <si>
    <t xml:space="preserve">Evidencia prijímateľa, prezenčné listiny </t>
  </si>
  <si>
    <t xml:space="preserve">Počet monitorovaných kultúrnych pamiatok </t>
  </si>
  <si>
    <t>Technické správy o pamiatkach</t>
  </si>
  <si>
    <t xml:space="preserve">Počet nových členov regionálnych inšpekčných tímov </t>
  </si>
  <si>
    <t>Výdavky domácností na kultúrne služby (v eurách)</t>
  </si>
  <si>
    <t>Ročný počet ľudí navštevujúcich kultúrne aktivity</t>
  </si>
  <si>
    <t xml:space="preserve">Počet priamo zapojených alebo podporu využívajúcich umelcov a kultúrnych expertov </t>
  </si>
  <si>
    <t>Počet podporených kultúrnych aktérov (inštitúcií)</t>
  </si>
  <si>
    <t>Počet zapojených vzdelávacích inštitúcií</t>
  </si>
  <si>
    <t xml:space="preserve">Počet podujatí venovaných umeleckej slobode a/alebo slobode vyjadrovania </t>
  </si>
  <si>
    <t>Počet podujatí zameraných na zvyšovanie povedomia o kultúre menšín</t>
  </si>
  <si>
    <t>Počet podujatí zameraných na prácu s publikom</t>
  </si>
  <si>
    <t>Dostupné štatistické údaje</t>
  </si>
  <si>
    <t xml:space="preserve">Štatistiky Ministerstva kultúry </t>
  </si>
  <si>
    <t>Evidencia prijímateľa, priebežné správy o projekte</t>
  </si>
  <si>
    <t>Uzavreté projektové zmluvy</t>
  </si>
  <si>
    <t>Webové stránky projektov, evidencia prijímateľa, priebežné správy o projekte</t>
  </si>
  <si>
    <t xml:space="preserve">Priebežné správy o projekte, fotografie </t>
  </si>
  <si>
    <t>Evidencia prijímateľa, predané vstupenky, priebežné správy o projekte</t>
  </si>
  <si>
    <t>Úroveň spokojnosti s partnerstvom (rozdelené podľa typu štátu)</t>
  </si>
  <si>
    <t>Úroveň dôvery medzi spolupracujúcimi subjektmi v prijímateľských štátoch a prispievateľských štátoch  (rozdelené podľa typu štátu)</t>
  </si>
  <si>
    <t>Podiel spolupracujúcich subjektov, ktoré uplatňujú  znalosti získané z bilaterálneho partnerstva (rozdelené podľa typu štátu)</t>
  </si>
  <si>
    <t xml:space="preserve">Počet bilaterálnych aktivít zameraných na menšiny </t>
  </si>
  <si>
    <t xml:space="preserve">Počet zrealizovaných spoločných kultúrnych aktivít </t>
  </si>
  <si>
    <t xml:space="preserve">Počet projektov zahrnujúcich spoluprácu s donorským partnerom projektu (rozdelené podľa prispievateľského štátu) </t>
  </si>
  <si>
    <t>Rozpätie 1-7</t>
  </si>
  <si>
    <t>Výsledky prieskumu</t>
  </si>
  <si>
    <t>Percento</t>
  </si>
  <si>
    <t xml:space="preserve">Kópie zmlúv uzavretých s prijímateľmi, partnerské dohody medzi prijímateľmi a partnermi projektu </t>
  </si>
  <si>
    <t>≥4.5 a prírastok k počiatočnej hodnote</t>
  </si>
  <si>
    <t>Počet bodov v rámci indikátora Kontrola korupcie (CCI –Svetová banka)</t>
  </si>
  <si>
    <t>Počet bodov v rámci Indexu vnímania korupcie  (Transparency International)</t>
  </si>
  <si>
    <t>Počet ročne registrovaných zaznamenaných prípadov korupcie (Ministerstvo vnútra)</t>
  </si>
  <si>
    <t>Počet zorganizovaných seminárov na budovanie kapacít</t>
  </si>
  <si>
    <t>Počet rezortných ministerstiev, ktorých postupy sú v oblasti integrity verejnej správy koordinované</t>
  </si>
  <si>
    <t>Počet verejných zamestnancov poučených o etickom správaní (rozdelené podľa pohlavia)</t>
  </si>
  <si>
    <t>Vykonaný prieskum verejnej integrity</t>
  </si>
  <si>
    <t>Vyvinutý súbor štandardov na meranie integrity verejnej správy</t>
  </si>
  <si>
    <t>CCI Svetovej banky</t>
  </si>
  <si>
    <t xml:space="preserve">Evidencia Ministerstva vnútra </t>
  </si>
  <si>
    <t>Programy podujatí a prezenčné listiny</t>
  </si>
  <si>
    <t>Programy stretnutí a prezenčné listiny</t>
  </si>
  <si>
    <t>Programy seminárov a prezenčné listiny</t>
  </si>
  <si>
    <t>Dvojčlen</t>
  </si>
  <si>
    <t>Kópia správy o prieskume verejnej integrity</t>
  </si>
  <si>
    <t>Kópie štandardov</t>
  </si>
  <si>
    <t xml:space="preserve">Počet príjemcov poskytnutých alebo skvalitnených služieb </t>
  </si>
  <si>
    <t>Počet prípadov rodinného práva stíhaných súdmi, ktoré sú podporované programom</t>
  </si>
  <si>
    <t>Počet vyškolených profesionálov, ktorí uviedli zvýšenú spôsobilosť a schopnosť pracovať s obeťami trestných činov a ochranou neplnoletých</t>
  </si>
  <si>
    <t>Počet zrekonštruovaných priestorov súdov</t>
  </si>
  <si>
    <t>Počet vzdelávacích programov pre mediátorov a sudcov</t>
  </si>
  <si>
    <t>Počet vzdelávacích programov pre sudcov a prokurátorov zameraných na zlepšenie zaobchádzania s obeťami</t>
  </si>
  <si>
    <t xml:space="preserve">Počet vyškolených verejných činiteľov činných v trestnom konaní </t>
  </si>
  <si>
    <t>Počet medzirezortných stretnutí podporujúcimi spoluprácu na ochrane práv obete</t>
  </si>
  <si>
    <t>Evidencia prijímateľa</t>
  </si>
  <si>
    <t>Evidencia Ministerstva spravodlivosti</t>
  </si>
  <si>
    <t>Akceptačné dokumenty (kolaudačné rozhodnutia)</t>
  </si>
  <si>
    <t>Kópie osnov edukačných programov</t>
  </si>
  <si>
    <t>Prezenčné listiny</t>
  </si>
  <si>
    <t>Úroveň znalostí (uvádzaná respondentmi) medzi ukrajinskými účastníkmi zapojenými do spolupráce so SR (o otázkach súvisiacich s verejným obstarávaním, súdnictvom a pod.)</t>
  </si>
  <si>
    <t>Počet spolupracujúcich partnerstiev pretrvávajúcich medzi slovenskými a ukrajinskými rezortnými ministerstvami pri ukončení programu</t>
  </si>
  <si>
    <t>Počet príkladov najlepšej praxe prenesených zo Slovenska na Ukrajinu v oblasti transparentnosti</t>
  </si>
  <si>
    <t xml:space="preserve">Počet ľudí prítomných na spoločných seminároch organizovaných slovenskými a ukrajinskými orgánmi verejnej správy (rozdelené podľa pohlavia) </t>
  </si>
  <si>
    <t>Počet vyslaní z Ukrajiny na Slovensko</t>
  </si>
  <si>
    <t xml:space="preserve">Zriadenie vzdelávacích a školiacich systémov pre ukrajinské bezpečnostné zložky </t>
  </si>
  <si>
    <t>Počet vzdelaných a vyškolených slovenských policajných špecialistov (rozdelené podľa pohlavia)</t>
  </si>
  <si>
    <t>Počet vzdelaných a vyškolených špecialistov ukrajinských bezpečnostných zložiek (rozdelené podľa pohlavia)</t>
  </si>
  <si>
    <t>Počet hodnotení súčasného stavu interných predpisov v oblasti bezpečnosti CBRN a cezhraničného toku informácií</t>
  </si>
  <si>
    <t xml:space="preserve">Počet zástupcov súkromného sektora vyškolených v nakladaní s nedovolenými CBRN materiálmi (rozdelené podľa pohlavia) </t>
  </si>
  <si>
    <t>Počet cvičení slovenských bezpečnostných zložiek za účasti medzinárodných pozorovateľov</t>
  </si>
  <si>
    <t>Počet zrealizovaných medzinárodných cvičení</t>
  </si>
  <si>
    <t>Rozpätie 1-10</t>
  </si>
  <si>
    <t>Prezenčné listiny, dotazníky so spätnou väzbou</t>
  </si>
  <si>
    <t>Kópie hodnotení</t>
  </si>
  <si>
    <t>Priemerný počet uchádzačov vo verejných obstarávaniach</t>
  </si>
  <si>
    <t>Počet prípadov, v ktorých boli použité prípravné trhové konzultácie</t>
  </si>
  <si>
    <t>Počet odborných komôr a inštitúcií zapojených do prípravy príslušných štandardov / vzorov</t>
  </si>
  <si>
    <t>Počet vyvinutých štandardov / vzorov pre uplatňovanie kritérií MEAT</t>
  </si>
  <si>
    <t>Počet seminárov pre najväčších verejných obstarávateľov o kritériách MEAT</t>
  </si>
  <si>
    <t>Podiel verejných obstarávaní používajúcich kritériá MEAT</t>
  </si>
  <si>
    <t>Kópie materiálov zo seminárov, prezenčné listiny</t>
  </si>
  <si>
    <t>Úroveň dôvery medzi spolupracujúcimi subjektmi v prijímateľských štátoch a prispievateľských štátoch  (rozdelené podľa typu štátu)</t>
  </si>
  <si>
    <t>Počet projektov zahrnujúcich spoluprácu s donorským partnerom projektu (rozdelené podľa prispievateľského štátu)</t>
  </si>
  <si>
    <t xml:space="preserve">Počet zamestnancov z prijímateľskej krajiny zúčastnených na študijných návštevách Nórska </t>
  </si>
  <si>
    <t xml:space="preserve">Podiel projektov implementovaných v trilaterálnych partnerstvách medzi Slovenskom, Ukrajinou a prispievateľskými štátmi  </t>
  </si>
  <si>
    <t>Projektové zmluvy a partnerské dohody</t>
  </si>
  <si>
    <t>Podiel obyvateľstva (cielených aktivitami na zvýšenie povedomia) priaznivo vnímajúci rodovú rovnosť (rozdelené podľa pohlavia)</t>
  </si>
  <si>
    <t>Podiel obyvateľstva (cielených aktivitami na zvýšenie povedomia) odmietajúci rodové stereotypy</t>
  </si>
  <si>
    <t>Podiel študentov (v cieľových školách) priaznivo vnímajúci rodovú rovnosť (rozdelené podľa pohlavia)</t>
  </si>
  <si>
    <t>Podiel študentov (v cieľových školách) odmietajúci rodové stereotypy</t>
  </si>
  <si>
    <t>Počet kampaní na zvýšenie povedomia na podporu rodovej rovnosti</t>
  </si>
  <si>
    <t>Počet podporených inštitúcií aktívnych v oblasti rodovej rovnosti</t>
  </si>
  <si>
    <t>Počet škôl z marginalizovaných rómskych komunít, ktorým boli poskytnuté prednášky špeciálne zamerané na rodovú rovnosť</t>
  </si>
  <si>
    <t>Počet škôl, ktorým boli poskytnuté prednášky zamerané na rodovú rovnosť</t>
  </si>
  <si>
    <t>Počet vytvorených špecializovaných vzdelávacích materiálov</t>
  </si>
  <si>
    <t>Evidencia prijímateľov</t>
  </si>
  <si>
    <t>Projektové zmluvy, partnerské dohody</t>
  </si>
  <si>
    <t>Zoznam škôl, prezenčné listiny</t>
  </si>
  <si>
    <t>Kópie materiálov</t>
  </si>
  <si>
    <t>Počet príjemcov poskytnutých služieb (rozdelené podľa pohlavia)</t>
  </si>
  <si>
    <t>Podiel podporených poradenských centier spĺňajúcich štandardy Rady Európy</t>
  </si>
  <si>
    <t>Počet kampaní na zvýšenie povedomia a vzdelávacích kampaní realizovaných centrami a bezpečnými ženskými domami</t>
  </si>
  <si>
    <t>Počet podporených existujúcich poradenských centier</t>
  </si>
  <si>
    <t>Počet podporených existujúcich miest v bezpečných ženských domoch</t>
  </si>
  <si>
    <t>Počet poskytovateľov služieb, ktorí vedú alebo sú zapojení do konzorcia s verejnými inštitúciami na lokálnej úrovni</t>
  </si>
  <si>
    <t>Počet poradenských centier založených alebo špecializovaných na splnenie požadovaných štandardov3</t>
  </si>
  <si>
    <t>Počet miest v bezpečných ženských domoch vytvorených alebo špecializovaných na splnenie požadovaných štandardov</t>
  </si>
  <si>
    <t>Počet bezpečných ženských domov a poradenských centier so zlepšenými podmienkami z hľadiska potrieb detí</t>
  </si>
  <si>
    <t>Počet podporených poradenských centier poskytujúcich služby špecifickým cieľovým skupinám, ako sú obete znásilnenia, obete so závislosťou</t>
  </si>
  <si>
    <t>Počet poradenských centier pracujúcich s násilníkmi</t>
  </si>
  <si>
    <t>Počet realizovaných pilotných projektov zameraných na jednotky sexuálnych útokov, prenášajúcich príklad dobrej praxe z Nórska</t>
  </si>
  <si>
    <t>Materiály kampane</t>
  </si>
  <si>
    <t>Projektové zmluvy</t>
  </si>
  <si>
    <t>Ročný počet oficiálne nahlásených prípadov rodovo podmieneného a domáceho násilia (rozdelené podľa pohlavia)</t>
  </si>
  <si>
    <t>Úroveň spokojnosti inštitúcií a organizácií zapojených do systému odozvy s účinnosťou systému odozvy</t>
  </si>
  <si>
    <t>Počet založených regionálnych koordinačných a metodologických tímov</t>
  </si>
  <si>
    <t>Vykonané hĺbkové analýzy</t>
  </si>
  <si>
    <t>Počet tréningových kurzov Rady Európy HELP preložených a adaptovaných na Slovensko</t>
  </si>
  <si>
    <t>Počet prednášok a konzultácií poskytnutých pomáhajúcim profesiám</t>
  </si>
  <si>
    <t>Počet vyškolených profesionálnych zamestnancov (rozdelené podľa pohlavia, rómskej príslušnosti)</t>
  </si>
  <si>
    <t>Počet štandardov pre inštitúcie aktívne v oblasti domáceho a rodovo podmieneného násilia vypracovaných v spolupráci s príslušnou medzinárodnou partnerskou organizáciou</t>
  </si>
  <si>
    <t>Počet vytvorených špecializovaných policajných tímov</t>
  </si>
  <si>
    <t>Počet miestností na policajných staniciach prispôsobených potrebám obetí domáceho a rodovo podmieneného násilia</t>
  </si>
  <si>
    <t>Štatistika Ministerstva spravodlivosti/štatistika polície</t>
  </si>
  <si>
    <t>Zoznam účastníkov</t>
  </si>
  <si>
    <t>2022 (VPS)</t>
  </si>
  <si>
    <t>Stanovy regionálnych koordinačných a metodolo-gických tímov</t>
  </si>
  <si>
    <t>Kópia analýzy</t>
  </si>
  <si>
    <t>Kópia preloženého kurzu</t>
  </si>
  <si>
    <t>Zoznam účastníkov tréningu</t>
  </si>
  <si>
    <t>Kópie vypracova-ných štandardov</t>
  </si>
  <si>
    <t>Záznamy polície</t>
  </si>
  <si>
    <t>Úroveň spokojnosti s partnerstvom (rozdelené podľa typu štátu)</t>
  </si>
  <si>
    <t>Počet príkladov dobrej praxe prenesených z Nórska na Slovensko</t>
  </si>
  <si>
    <t>Podiel spolupracujúcich subjektov, ktoré uplatňujú  znalosti získané z bilaterálneho partnerstva (rozdelené podľa typu štátu)</t>
  </si>
  <si>
    <t>Počet projektov zahrnujúcich spoluprácu s donorským partnerom projektu (rozdelené podľa prispievateľského štátu)</t>
  </si>
  <si>
    <t>Počet zamestnancov z prijímateľskej krajiny zúčastnených na výmenách alebo vyslaniach zameraných na založenie jednotiek sexuálnych útokov (rozdelené podľa pohlavia, prispievateľského štátu)</t>
  </si>
  <si>
    <t>Počet zamestnancov z prijímateľských štátov zúčastnených na výmenách zameraných na deti obete násilia (rozdelené podľa pohlavia, prispievateľského štátu)</t>
  </si>
  <si>
    <t>Počet zamestnancov z prispievateľských štátov zúčastnených na výmenách zameraných na deti obete násilia (rozdelené podľa pohlavia, prispievateľského štátu)</t>
  </si>
  <si>
    <t>Počet zamestnancov z prispievateľských štátov zúčastnených na výmenách alebo vyslaniach zameraných na založenie jednotiek sexuálnych útokov (rozdelené podľa pohlavia, prispievateľského štátu)</t>
  </si>
  <si>
    <t>Počet seminárov zameraných na zdieľanie skúseností na poskytovanie služieb menšinám</t>
  </si>
  <si>
    <t>Kópie projektových zmlúv</t>
  </si>
  <si>
    <t>Počet hlavných informačných aktivít</t>
  </si>
  <si>
    <t>Počet mediálnych výstupov (reportáže, články v miestnych, regionálnych alebo národných médiách)</t>
  </si>
  <si>
    <t>Zvýšený počet návštev webového sídla</t>
  </si>
  <si>
    <t>Počet propagačných materiálov vytvorených  v rámci projektu</t>
  </si>
  <si>
    <t>Počet nových správ/štúdií/oznámení zverejnených na vlastnej webovej stránke</t>
  </si>
  <si>
    <t>Počet vytvorených audio-vizuálnych diel</t>
  </si>
  <si>
    <t>Programovacie</t>
  </si>
  <si>
    <t>Prevádzkové</t>
  </si>
  <si>
    <t>Veľmi nepravdepodobná</t>
  </si>
  <si>
    <t>Nepravdepodobná</t>
  </si>
  <si>
    <t>Pravdepodobná</t>
  </si>
  <si>
    <t>Takmer istá</t>
  </si>
  <si>
    <t>Minimálny</t>
  </si>
  <si>
    <t>Mierny</t>
  </si>
  <si>
    <t>Vážny</t>
  </si>
  <si>
    <t>Veľmi vážny</t>
  </si>
  <si>
    <t>Vyhnúť sa / ukončiť</t>
  </si>
  <si>
    <t>Presunúť / zdieľať</t>
  </si>
  <si>
    <t>Zmierniť</t>
  </si>
  <si>
    <t>Prijať</t>
  </si>
  <si>
    <t>Veľmi nepravdepodobná_Minimálny</t>
  </si>
  <si>
    <t>Súvisiaci s obstarávaním</t>
  </si>
  <si>
    <t>Súvisiaci s publicitou</t>
  </si>
  <si>
    <t>Súvisiaci s povoleniami</t>
  </si>
  <si>
    <t>Súvisiaci so službami</t>
  </si>
  <si>
    <t>Zásadná</t>
  </si>
  <si>
    <t>Podstatná</t>
  </si>
  <si>
    <t>Relevantná</t>
  </si>
  <si>
    <t>do 1 mesiacov</t>
  </si>
  <si>
    <t>do 3 mesiacov</t>
  </si>
  <si>
    <t>do 6 mesiacov</t>
  </si>
  <si>
    <t>do 12 mesiacov</t>
  </si>
  <si>
    <t>do 18 mesiacov</t>
  </si>
  <si>
    <t>do 24 mesiacov</t>
  </si>
  <si>
    <t>do 36 mesiacov</t>
  </si>
  <si>
    <t>do 48 mesiacov</t>
  </si>
  <si>
    <t>Článok 8.5.1c)</t>
  </si>
  <si>
    <t>Článok 8.5.1a)</t>
  </si>
  <si>
    <t>Článok 8.5.1b)</t>
  </si>
  <si>
    <t>Článok 8.5.1d)</t>
  </si>
  <si>
    <t>Článok 8.5.1e)</t>
  </si>
  <si>
    <t>Základný výskum</t>
  </si>
  <si>
    <t>Aplikovaný výskum</t>
  </si>
  <si>
    <t>1 Prírodné vedy</t>
  </si>
  <si>
    <t>2 Strojárstvo a technológia</t>
  </si>
  <si>
    <t>3 Lekárske a zdravotné vedy</t>
  </si>
  <si>
    <t>4 Poľnohospodárske vedy</t>
  </si>
  <si>
    <t>5 Spoločenské vedy</t>
  </si>
  <si>
    <t>6 Humanitné vedy</t>
  </si>
  <si>
    <t>1.1 Matematika</t>
  </si>
  <si>
    <t>1.2 Počítačové a informačné vedy</t>
  </si>
  <si>
    <t>1.3 Fyzikálne vedy</t>
  </si>
  <si>
    <t>1.4 Chemické vedy</t>
  </si>
  <si>
    <t>1.5 Zem a súvisiace environmentálne vedy</t>
  </si>
  <si>
    <t>1.6 Biologické vedy</t>
  </si>
  <si>
    <t>1.7 Ostatné prírodné vedy</t>
  </si>
  <si>
    <t>2.1 Pozemné staviteľstvo</t>
  </si>
  <si>
    <t>2.2 Elektrotechnika, elektronické inžinierstvo, informatika</t>
  </si>
  <si>
    <t>2.3 Strojárstvo</t>
  </si>
  <si>
    <t>2.4 Chemické inžinierstvo</t>
  </si>
  <si>
    <t>2.5 Materiálové inžinierstvo</t>
  </si>
  <si>
    <t>2.6 Lekárske inžinierstvo</t>
  </si>
  <si>
    <t>2.7 Environmentálne inžinierstvo</t>
  </si>
  <si>
    <t>2.8 Environmentálna biotechnológia</t>
  </si>
  <si>
    <t>2.9 Priemyselná biotechnológia</t>
  </si>
  <si>
    <t>2.10 Nano-technológia</t>
  </si>
  <si>
    <t>2.11 Ostatné inžinierstvo a technológie</t>
  </si>
  <si>
    <t>3.1 Základná medicína</t>
  </si>
  <si>
    <t>3.2 Klinická medicína</t>
  </si>
  <si>
    <t>3.3 Zdravotnícke vedy</t>
  </si>
  <si>
    <t>3.4 Zdravotnícka biotechnológia</t>
  </si>
  <si>
    <t>3.5 Iné lekárske vedy</t>
  </si>
  <si>
    <t>4.1 Poľnohospodárstvo, lesníctvo a rybné hospodárstvo</t>
  </si>
  <si>
    <t>4.2 Vedecké a živočíšne vedy</t>
  </si>
  <si>
    <t>4.3 Veterinárna veda</t>
  </si>
  <si>
    <t>4.4 Poľnohospodárska biotechnológia</t>
  </si>
  <si>
    <t>4.5 Ostatné poľnohospodárske vedy</t>
  </si>
  <si>
    <t>5.1 Psychológia</t>
  </si>
  <si>
    <t>5.2 Ekonomika a podnikanie</t>
  </si>
  <si>
    <t>5.3 Vzdelávacie vedy</t>
  </si>
  <si>
    <t>5.3 Sociológia</t>
  </si>
  <si>
    <t>5.5 Zákon</t>
  </si>
  <si>
    <t>5.6 Politické vedy</t>
  </si>
  <si>
    <t>5.7 Sociálna a ekonomická geografia</t>
  </si>
  <si>
    <t>5.8 Médiá a komunikácia</t>
  </si>
  <si>
    <t>5.9 Ostatné spoločenské vedy</t>
  </si>
  <si>
    <t>6.1 História a archeológia</t>
  </si>
  <si>
    <t>6.2 Jazyky a literatúra</t>
  </si>
  <si>
    <t>6.3 Filozofia, etika a náboženstvo</t>
  </si>
  <si>
    <t>6.4 Umenie (umenie, dejiny umenia, divadelné umenie, hudba)</t>
  </si>
  <si>
    <t>6.5 Iné humanitné vedy</t>
  </si>
  <si>
    <t>FORMULÁR ŽIADOSTI O PROJEKT</t>
  </si>
  <si>
    <t>Verzia žiadosti o projekt</t>
  </si>
  <si>
    <t>Kód výzvy</t>
  </si>
  <si>
    <t>1. Zhrnutie</t>
  </si>
  <si>
    <t>1.1 Názov projektu</t>
  </si>
  <si>
    <t>1.5 Miesto realizácie projektu a sídlo žiadateľa</t>
  </si>
  <si>
    <t>1.2 Názov programovej oblasti</t>
  </si>
  <si>
    <t>1.3 Názov výstupu programu</t>
  </si>
  <si>
    <t>1.4 Názov relevantných výsledkov programu, ktorých sa projekt týka</t>
  </si>
  <si>
    <t>(vyberte podľa potreby)</t>
  </si>
  <si>
    <t>Okres (vyberte)</t>
  </si>
  <si>
    <t xml:space="preserve">Samosprávny kraj, v ktorom sa väčšina aktivít bude realizovať (vyberte) </t>
  </si>
  <si>
    <t>Ďalší okres (vyberte, pokiaľ je relevantné)</t>
  </si>
  <si>
    <t>Adresa sídla žiadateľa - samosprávny kraj (vyberte)</t>
  </si>
  <si>
    <t>2. Žiadateľ</t>
  </si>
  <si>
    <t>2.1 2.1 Názov a kontaktné údaje</t>
  </si>
  <si>
    <t>2.1.1 Úplný právoplatný názov:</t>
  </si>
  <si>
    <t>2.1.2 Sektor</t>
  </si>
  <si>
    <t>2.1.3 2.1.3 Právna forma organizácie</t>
  </si>
  <si>
    <t>2.1.4 Iná právna forma organizácie – uviesť</t>
  </si>
  <si>
    <t>2.1.5 Právna forma organizácie pre potreby donorov</t>
  </si>
  <si>
    <t xml:space="preserve">2.1.6 Identifikačné číslo organizácie (IČO)         </t>
  </si>
  <si>
    <t>2.1.7 Adresa sídla:</t>
  </si>
  <si>
    <t>Ulica:</t>
  </si>
  <si>
    <t>Popisné a orientačné číslo:</t>
  </si>
  <si>
    <t>PSČ:</t>
  </si>
  <si>
    <t>Mesto/obec:</t>
  </si>
  <si>
    <t>Internetová adresa:</t>
  </si>
  <si>
    <t>Meno</t>
  </si>
  <si>
    <t>Priezvisko</t>
  </si>
  <si>
    <t>2.1.8 Kontaktná osoba</t>
  </si>
  <si>
    <t>Meno:</t>
  </si>
  <si>
    <t>Pozícia:</t>
  </si>
  <si>
    <t>Oslovenie</t>
  </si>
  <si>
    <t>Predvoľba štátu</t>
  </si>
  <si>
    <t>Číslo</t>
  </si>
  <si>
    <t>Telefón:</t>
  </si>
  <si>
    <t>Mobilný telefón:</t>
  </si>
  <si>
    <t>2.1.9 Kontaktná adresa organizácie, ak je iná ako adresa sídla</t>
  </si>
  <si>
    <t>Organizácia:</t>
  </si>
  <si>
    <t>2.2 Opis žiadateľa</t>
  </si>
  <si>
    <t>2.3 2.3 Ako ste sa dozvedeli o dostupnosti grantu</t>
  </si>
  <si>
    <t>(vyberte)</t>
  </si>
  <si>
    <t>3. Projekt</t>
  </si>
  <si>
    <t>3.1. Zhrnutie projektu</t>
  </si>
  <si>
    <t>Názov aktivity 1</t>
  </si>
  <si>
    <t>Názov aktivity 2</t>
  </si>
  <si>
    <t>Názov aktivity 3</t>
  </si>
  <si>
    <t>Názov aktivity 4</t>
  </si>
  <si>
    <t>Názov aktivity 5</t>
  </si>
  <si>
    <t>Názov aktivity 6</t>
  </si>
  <si>
    <t>Názov aktivity 7</t>
  </si>
  <si>
    <t>Názov aktivity 8</t>
  </si>
  <si>
    <t>Súvisí s výsledkom</t>
  </si>
  <si>
    <t>Opis aktivity 1</t>
  </si>
  <si>
    <t>Opis aktivity 3</t>
  </si>
  <si>
    <t>Opis aktivity 4</t>
  </si>
  <si>
    <t>Opis aktivity 5</t>
  </si>
  <si>
    <t>Opis aktivity 6</t>
  </si>
  <si>
    <t>Opis aktivity 7</t>
  </si>
  <si>
    <t>Opis aktivity 8</t>
  </si>
  <si>
    <t>3.2. Aktivity projektu</t>
  </si>
  <si>
    <t>Názov indikátora</t>
  </si>
  <si>
    <t>Počiatočná hodnota</t>
  </si>
  <si>
    <t>Cieľová hodnota</t>
  </si>
  <si>
    <t>Opíšte spôsob merania indikátora</t>
  </si>
  <si>
    <t>3.3. Indikátory projektu</t>
  </si>
  <si>
    <t>3.3.1 Štandardné indikátory</t>
  </si>
  <si>
    <t>3.3.2 Bilaterálne indikátory (relevantné len ak je do projektu zapojený partner z prispievateľských štátov)</t>
  </si>
  <si>
    <t>3.3.3 Indikátory publicity</t>
  </si>
  <si>
    <t>Počet mediálnych výstupov (reportáže, články v miestnych, regionálnych alebo národných médiách)</t>
  </si>
  <si>
    <t>Počet propagačných materiálov vytvorených  v rámci projektu</t>
  </si>
  <si>
    <t>Počet materiálov sumarizujúcich výsledky projektu</t>
  </si>
  <si>
    <t>3.3.4 Špecifické projektové indikátory</t>
  </si>
  <si>
    <t>3.4 Základné štatistické informácie o projekte</t>
  </si>
  <si>
    <t>3.4.1 Kód sektoru v zmysle klasifikácie OECD (vyberte hlaný sektor, na ktorý sa projekt zameriava):</t>
  </si>
  <si>
    <t>Hlavný sektor</t>
  </si>
  <si>
    <t>Kód sektoru</t>
  </si>
  <si>
    <t>3.4.2 Hlavné opatrenia projektu (vyberte najmenej jedno a priraďte mu dôležitosť)</t>
  </si>
  <si>
    <t>Informovanosť a budovanie povedomia</t>
  </si>
  <si>
    <t xml:space="preserve">Advokácia (presadzovanie práv) </t>
  </si>
  <si>
    <t>Výskum</t>
  </si>
  <si>
    <t>Rozvoj infraštruktúry a obstaranie zariadení</t>
  </si>
  <si>
    <t>Budovanie kapacít</t>
  </si>
  <si>
    <t>Vzdelávanie a školenia</t>
  </si>
  <si>
    <t>Poskytovanie služieb</t>
  </si>
  <si>
    <t>3.4.3 Ak je projekt výskumný, vyplňte nasledovné polia:</t>
  </si>
  <si>
    <t>Typ výskumu:</t>
  </si>
  <si>
    <t>Akademická oblasť:</t>
  </si>
  <si>
    <t>Vedná disciplína:</t>
  </si>
  <si>
    <t>3.5 Cieľové skupiny projektu</t>
  </si>
  <si>
    <t>Kategória</t>
  </si>
  <si>
    <t>Prostredník</t>
  </si>
  <si>
    <t>Príjemca</t>
  </si>
  <si>
    <t xml:space="preserve">Vyberte tri najdôležitejšie cieľové skupiny projektu, t.j. skupiny, na ktoré sa projekt zameriava. </t>
  </si>
  <si>
    <t>4 Riadenie projektu</t>
  </si>
  <si>
    <t>4.1 Štruktúra riadenia projektu, vrátane finančného riadenia</t>
  </si>
  <si>
    <t>Údaje o partneroch</t>
  </si>
  <si>
    <t>4.2 Partnerstvo</t>
  </si>
  <si>
    <t>Plný právoplatný názov partnera:</t>
  </si>
  <si>
    <t>Názov partnera (v angličtine):</t>
  </si>
  <si>
    <t>IČO alebo ekvivalent:</t>
  </si>
  <si>
    <t>Sektor:</t>
  </si>
  <si>
    <t>Právna forma partnera:</t>
  </si>
  <si>
    <t>Špecifikujte právnu formu, ak je iná:</t>
  </si>
  <si>
    <t>Právna forma - klasifikácia donorov</t>
  </si>
  <si>
    <t>Adresa sídla</t>
  </si>
  <si>
    <t>Popisné/orientačné číslo:</t>
  </si>
  <si>
    <t>Krajina:</t>
  </si>
  <si>
    <t>Kontaktná osoba</t>
  </si>
  <si>
    <t>Pracovná pozícia:</t>
  </si>
  <si>
    <t>Financovanie a stav</t>
  </si>
  <si>
    <t>Čerpá partner projektový grant?</t>
  </si>
  <si>
    <t>Spolufinancuje partner projekt?</t>
  </si>
  <si>
    <t>Projektový grantu bude partnerovi vyplácaný ako:</t>
  </si>
  <si>
    <t>Súčasný stav partnerstva:</t>
  </si>
  <si>
    <t>Úloha partnera 1 v projekte</t>
  </si>
  <si>
    <t>Úloha partnera 2 v projekte</t>
  </si>
  <si>
    <t>Úloha partnera 3 v projekte</t>
  </si>
  <si>
    <t>Úloha partnera 4 v projekte</t>
  </si>
  <si>
    <t>4.4 Bilaterálne partnerstvo</t>
  </si>
  <si>
    <t>(vyplňte túto časť len ak je do projektu zapojený najmenej jeden partner z prispievateľských štátov)</t>
  </si>
  <si>
    <t>4.4.1 Akú úroveň zapojenia donorského partnera/partnerov projektu predpokladáte?</t>
  </si>
  <si>
    <t>[Dá sa vybrať viacero možností - v prípade viacerých donorských projektových partnerov uveďte celkové zhodnotenie]</t>
  </si>
  <si>
    <t>Zabezpečuje zvyšovanie kapacít v našom projekte (vo forme školení a pod.)</t>
  </si>
  <si>
    <t>Zúčastňuje sa podujatí v našom projekte</t>
  </si>
  <si>
    <t xml:space="preserve">Prispieva k podujatiam prezentáciami a/alebo vstupmi </t>
  </si>
  <si>
    <t>Iné - uveďte</t>
  </si>
  <si>
    <t>Iné - uveďte:</t>
  </si>
  <si>
    <t>Pracuje s nami v projekte na hladaní spoločných riešení k spoločným problémom</t>
  </si>
  <si>
    <t>4.4.2 Ako bola spolupráca nadviazaná?</t>
  </si>
  <si>
    <t>Predchádzajúca spolupráca</t>
  </si>
  <si>
    <t>Seminár pre budúce partnerstvá v rámci Programu</t>
  </si>
  <si>
    <t>Prostredníctvom správcu programu / správcu fondu</t>
  </si>
  <si>
    <t>Priama pomoc donorským partnerom programu alebo donorským kontaktným bodom</t>
  </si>
  <si>
    <t>Vyhľadávanie v databáze partnerstiev (databáza Innovation Norway, Nórskeho Helsinského výboru alebo iné)</t>
  </si>
  <si>
    <t>Pomoc veľvyslanectva</t>
  </si>
  <si>
    <t>Nezávislé hľadanie partnera</t>
  </si>
  <si>
    <t>5. Plán projektu</t>
  </si>
  <si>
    <t xml:space="preserve">5.1 Financovanie   </t>
  </si>
  <si>
    <t>Kategória/Subjekt</t>
  </si>
  <si>
    <t>Nepriame náklady (EUR)</t>
  </si>
  <si>
    <t>Priame výdavky (EUR)</t>
  </si>
  <si>
    <t>Spôsob výpočtu nepriamych nákladov</t>
  </si>
  <si>
    <t>Rezerva (EUR)</t>
  </si>
  <si>
    <t>Príspevok v naturáliách (EUR)</t>
  </si>
  <si>
    <t>Požadovaná prvá zálohová platba (EUR)</t>
  </si>
  <si>
    <t>Spolufinancovanie v peňažnej forme (EUR)</t>
  </si>
  <si>
    <t>Požadovaný projektový grant (EUR)</t>
  </si>
  <si>
    <t>Celkové oprávnené peňažné výdavky (EUR)</t>
  </si>
  <si>
    <t>Celkové oprávnené výdavky(EUR)</t>
  </si>
  <si>
    <t>Nepriame náklady (% na nákladoch na zamestnancov)</t>
  </si>
  <si>
    <t>Grantová miera projektu (%)</t>
  </si>
  <si>
    <t>Maximálna grantová miera (%)</t>
  </si>
  <si>
    <t>Minimálny požadovaný projektový grant (EUR)</t>
  </si>
  <si>
    <t>Maximálny požadovaný projektový grant (EUR)</t>
  </si>
  <si>
    <t>Maximálna rezerva(EUR)</t>
  </si>
  <si>
    <t>Maximálna výška príspevku v naturáliách v percentách</t>
  </si>
  <si>
    <t>Maximálna výška príspevku v naturáliách v eurách</t>
  </si>
  <si>
    <t>Aktuálna (skutočná) výška príspevku v naturáliách v percentách</t>
  </si>
  <si>
    <t>Príspevok z grantov EHP/Nórska</t>
  </si>
  <si>
    <t>Príspevok zo štátneho rozpočtu SR</t>
  </si>
  <si>
    <t xml:space="preserve">5.2 Míľniky   </t>
  </si>
  <si>
    <t>Predpokladaná dĺžka trvania realizácie projektu (v mesiacoch od podpisu projektovej zmluvy)</t>
  </si>
  <si>
    <t>Zoznam míľnikov</t>
  </si>
  <si>
    <t>Súvisí s aktivitou</t>
  </si>
  <si>
    <t>Všetobecná klasifikácia</t>
  </si>
  <si>
    <t>Dôležitosť</t>
  </si>
  <si>
    <t>Realizácia miľníka začína/končí
(po uzavretí projektovej zmluvy)</t>
  </si>
  <si>
    <t>Začiatok</t>
  </si>
  <si>
    <t>Koniec</t>
  </si>
  <si>
    <t>Trvanie (mesiace)</t>
  </si>
  <si>
    <t>6. Právne otázky</t>
  </si>
  <si>
    <t>6.1 Súlad projektu s relevantnou legislatívou a strategickými dokumentmi</t>
  </si>
  <si>
    <t>8. Riziká a riadenie rizík</t>
  </si>
  <si>
    <t>Opis rizika</t>
  </si>
  <si>
    <t>Pravdepodobnosť</t>
  </si>
  <si>
    <t>Dopad</t>
  </si>
  <si>
    <t>Rizikové body</t>
  </si>
  <si>
    <t>Opis odpovede</t>
  </si>
  <si>
    <t>Veľmi nepravdepodobná_Mierny</t>
  </si>
  <si>
    <t>Veľmi nepravdepodobná_Vážny</t>
  </si>
  <si>
    <t>Veľmi nepravdepodobná_Veľmi vážny</t>
  </si>
  <si>
    <t>Nepravdepodobná_Minimálny</t>
  </si>
  <si>
    <t>Nepravdepodobná_Mierny</t>
  </si>
  <si>
    <t>Nepravdepodobná_Vážny</t>
  </si>
  <si>
    <t>Nepravdepodobná_Veľmi vážny</t>
  </si>
  <si>
    <t>Pravdepodobná_Minimálny</t>
  </si>
  <si>
    <t>Pravdepodobná_Mierny</t>
  </si>
  <si>
    <t>Pravdepodobná_Vážny</t>
  </si>
  <si>
    <t>Pravdepodobná_Veľmi vážny</t>
  </si>
  <si>
    <t>Takmer istá_Minimálny</t>
  </si>
  <si>
    <t>Takmer istá_Mierny</t>
  </si>
  <si>
    <t>Takmer istá_Vážny</t>
  </si>
  <si>
    <t>Takmer istá_Veľmi vážny</t>
  </si>
  <si>
    <t>9. Prierezové otázky</t>
  </si>
  <si>
    <t>Strategické ukazovatele (viac informácií je možné nájsť v Príručke k vykazovaniu výsledkov)</t>
  </si>
  <si>
    <t>Rodová rovnosť</t>
  </si>
  <si>
    <t>Inklúzia a posilňovanie postavenia Rómov</t>
  </si>
  <si>
    <t>Antidiskriminačné opatrenia</t>
  </si>
  <si>
    <t>Transparentnosť a protikorupčné opatrenia</t>
  </si>
  <si>
    <t>Sociálna inklúzia zraniteľných skupín (iných ako Rómovia)</t>
  </si>
  <si>
    <t>10. Príjmy a udržateľnosť projektu</t>
  </si>
  <si>
    <t>10.1 Náklady a príjmy</t>
  </si>
  <si>
    <t>Sú súčasťou oprávnených výdavkov projektu aj investície do nehnuteľností (nákup, rekonštrukcia)?</t>
  </si>
  <si>
    <t>Minimálna doba uržateľnosti projektu po schválení Záverečnej správy o projekte</t>
  </si>
  <si>
    <t>Vyplňte tabuľku a identifikuje predkladané náklady a príjmy projektu počas celej doby udržateľnosti projektu</t>
  </si>
  <si>
    <t>NÁKLADY</t>
  </si>
  <si>
    <t>ROK</t>
  </si>
  <si>
    <t>SPOLU</t>
  </si>
  <si>
    <t>PRÍJMY</t>
  </si>
  <si>
    <t>Náklady práce</t>
  </si>
  <si>
    <t>Prevádzakové náklady</t>
  </si>
  <si>
    <t>Investičné náklady</t>
  </si>
  <si>
    <t>Prijmy z predaja tovarov a služieb</t>
  </si>
  <si>
    <t>Príjmy z majetku</t>
  </si>
  <si>
    <t>Príjmy z prenájmu</t>
  </si>
  <si>
    <t>Granty a príspevky od donorov</t>
  </si>
  <si>
    <t xml:space="preserve">10.2 Zdroje financovania udržateľnosti výsledkov projektu </t>
  </si>
  <si>
    <t>11. Prílohy žiadosti</t>
  </si>
  <si>
    <t>11.1. Povinné prílohy, ktoré musia byť priložene súčasne so žiadosťou o projekt</t>
  </si>
  <si>
    <t>Názov</t>
  </si>
  <si>
    <t>Predpísaná predloha</t>
  </si>
  <si>
    <t>Dokument predložený</t>
  </si>
  <si>
    <t>Rozpočet projektu podľa predlohy vo formulári žiadosti o projekt.</t>
  </si>
  <si>
    <t>11.2. Zoznam nepovinných príloh</t>
  </si>
  <si>
    <t>Poznámky</t>
  </si>
  <si>
    <t>12. Zoznam konzultantov</t>
  </si>
  <si>
    <t>Do prípravy žiadosti o projekt boli zapojení nasledovní konzultanti:</t>
  </si>
  <si>
    <t>13. Čestné vyhlásenie štatutárov</t>
  </si>
  <si>
    <t>Štatutárny zástupca</t>
  </si>
  <si>
    <t>Druhý štatutárny zástupca, ak je to potrebné</t>
  </si>
  <si>
    <t>Podpis (a pečiatka), ak je to relevantné</t>
  </si>
  <si>
    <t>Pracovná pozícia</t>
  </si>
  <si>
    <t>Dátum</t>
  </si>
  <si>
    <t>Deň</t>
  </si>
  <si>
    <t>Mesiac</t>
  </si>
  <si>
    <t>Rok</t>
  </si>
  <si>
    <t>Týmto vyhlasujem, že som oprávnený predložiť túto žiadosť o projekt (ďalej len "Žiadosť") v mene mojej organizácie a náležite som skontroloval všetky vyhlásenia a informácie poskytnuté v nej a tieto sú pravdivé, správne a presné. Potvrdzujem, že tento Projekt bude realizovaný tak, ako je to uvedené v Žiadosti a požadovaný grant náležite odráža to, čo je odôvodniteľne potrebné ako minimum nevyhnutné pre pokračovanie a dokončenie Projektu. 
Týmto potvrdzujem, že ak Projekt bude podporený, Úrad vlády SR a ÚFM môžu a základe vlastného uváženia  na svojich webových stránkach publikovať zhrnutie Projektu a/alebo akúinformácie obsiahnuté v tejto Žiadosti, ktoré považujú za potrebné. 
Podpisom Žiadosti zároveň žiadam o prvú zálohovú platbu v súlade s podmienkami výzvy.</t>
  </si>
  <si>
    <t xml:space="preserve">Týmto vyhlasujem, že akýkoľvek dokument, ktorý bude požadovaný pred uzatvorením projektovej zmluvy bude predložený a že bude predložený náležite, správne a bez pozmenenia akýchkoľvek údajov. </t>
  </si>
  <si>
    <t xml:space="preserve">Zároveň čestne vyhlasujem, že všetky výsledky projektu budú prístupné verejnosti počas celej doby účinnosti projektovej zmluvy a za podmienok uvedených v projektovej zmluve. V tejto súvislosti čestne vyhlasujem, že preberám zodpovednosť za vysporiadanie všetkých nárokov súvisiacich s týmito výsledkami tak, aby ich zverejnenie nebolo možné považovať za porušenie príslušnej legislatívy, napr. autorského zákona, obchodného zákonníka a zákona o ochrane osobných údajov. Za týmto účelom predložením tejto Žiadosti súhlasím aj s vyhlásením o ochrane osobných údajov, uvedenom v Prílohe č.1 Príručky pre žiadateľa. Moja organizácia bude chrániť Úrad vlády Slovenskej republiky pred akýmikoľvek nárokmi, ktoré by si tretie subjekty mohli uplatniť vo vzťahu k Úradu vlády SR, súvisiace so zverejnením vyššie uvedených výsledkov a dokumentov. 
</t>
  </si>
  <si>
    <t>Čestne vyhlasujem, že žiadateľ a partneri:</t>
  </si>
  <si>
    <t>- majú vysporiadané finančné vzťahy so štátnym rozpočtom;</t>
  </si>
  <si>
    <t>- nemajú daňové nedoplatky;</t>
  </si>
  <si>
    <t>- nemajú nedoplatky poistného na zdravotné poistenie, sociálne poistenie a príspevkov na starobné dôchodkové sporenie;</t>
  </si>
  <si>
    <t>- neporušili zákaz nelegálnej práce a nelegálneho zamestnávania podľa osobitného predpisu za obdobie od jeho účinnosti (1. apríl 2005) a v prípade porušenia nelegálneho zamestnávania cudzinca podľa § 2 ods. 2 písm. c) zákona č. 82/2005 Z. z. o nelegálnej práci a nelegálnom zamestnávaní a o zmene a doplnení niektorých zákonov za obdobie piatich rokov od porušenia tohto zákazu</t>
  </si>
  <si>
    <t>Týmto vyhlasujem, že ži v období od predloženia Žiadosti po uzatvorenie projektovej zmluvy nedôjde k žiadnej podstatnej zmene, ktorá:</t>
  </si>
  <si>
    <t>a)       ovplyvní povahu projektu alebo jeho implementáciu alebo poskytne neférovú výhodu akémukoľvek subjektu</t>
  </si>
  <si>
    <t>b)       sa týka zmien vo vlastníctve akejkoľvek položky infraštruktúry alebo jej časti alebo  prerušenia výrobných činností.</t>
  </si>
  <si>
    <t>Som si vedomý, že v prípade porušenia čestného vyhlásenia alebo vyhlásení projektový grant nebude poskytnutý a Úrad vlády Slovenskej republiky je oprávnený požadovať vrátenie celej sumy poskytnutého grantu. Predložením tejto Žiadosti súhlasím s týmto vyhlásením a všetkým vyššie uvedeným  (aj v prípade, že Žiadosť nie je podpísaná).</t>
  </si>
  <si>
    <t>7. Komunikačný plán</t>
  </si>
  <si>
    <t>Žiadateľ:</t>
  </si>
  <si>
    <t>ROZPOČET PROJEKTU - PRIAME VÝDAVKY</t>
  </si>
  <si>
    <t>Priame výdavky:</t>
  </si>
  <si>
    <t>Nepriame náklady:</t>
  </si>
  <si>
    <t>Rezerva:</t>
  </si>
  <si>
    <t>Príspevok v naturáliách:</t>
  </si>
  <si>
    <t>Celkové oprávnené výdavky:</t>
  </si>
  <si>
    <t>Rozpočtová položka</t>
  </si>
  <si>
    <t>Jednotka</t>
  </si>
  <si>
    <t>Množstvo</t>
  </si>
  <si>
    <t>Náklady na jednotku</t>
  </si>
  <si>
    <t>Celková suma</t>
  </si>
  <si>
    <t>Aktivita</t>
  </si>
  <si>
    <t>Rozpočtová kapitola</t>
  </si>
  <si>
    <t>Názvy aktivít (pomôcka)</t>
  </si>
  <si>
    <t>Riadenie projektu</t>
  </si>
  <si>
    <t>Výsledok1</t>
  </si>
  <si>
    <t>Výsledok2</t>
  </si>
  <si>
    <t>Výsledok3</t>
  </si>
  <si>
    <t>Súvisiace náklady (automaticky)</t>
  </si>
  <si>
    <t>% na Celkových oprávnených výdavkoch</t>
  </si>
  <si>
    <t>PRIAME VÝDAVKY</t>
  </si>
  <si>
    <t>NEPRIAME NÁKLADY</t>
  </si>
  <si>
    <t>REZERVA</t>
  </si>
  <si>
    <t>PRÍSPEVOK V NATURÁLIÁCH</t>
  </si>
  <si>
    <t>CELKOVÉ OPRÁVNENÉ VÝDAVKY</t>
  </si>
  <si>
    <t xml:space="preserve">Súvisí s výsledkom </t>
  </si>
  <si>
    <t>Aktivity - filtrované</t>
  </si>
  <si>
    <t>Aktivity projektu</t>
  </si>
  <si>
    <t>Aktivita1</t>
  </si>
  <si>
    <t>Aktivita2</t>
  </si>
  <si>
    <t>Aktivita3</t>
  </si>
  <si>
    <t>Aktivita4</t>
  </si>
  <si>
    <t>Aktivita5</t>
  </si>
  <si>
    <t>Aktivita6</t>
  </si>
  <si>
    <t>Aktivita7</t>
  </si>
  <si>
    <t>Aktivita8</t>
  </si>
  <si>
    <t>Investičné náklady - infraštruktúra</t>
  </si>
  <si>
    <t>Investičné náklady - vybavenie</t>
  </si>
  <si>
    <t>Investičné náklady - iný majetok</t>
  </si>
  <si>
    <t>Bežné výdavky - na zamestnancov</t>
  </si>
  <si>
    <t>Bežné výdavky - povinná publicita</t>
  </si>
  <si>
    <t>Bežné výdavky - propagácia a diseminácia</t>
  </si>
  <si>
    <t>Bežné výdavky - nákup materiálu</t>
  </si>
  <si>
    <t>Stavebné práce</t>
  </si>
  <si>
    <t>Vybavenie</t>
  </si>
  <si>
    <t>Nehmotný majetok</t>
  </si>
  <si>
    <t>Zamestnanci</t>
  </si>
  <si>
    <t>Povinná publicita</t>
  </si>
  <si>
    <t>Ďalšia publicita</t>
  </si>
  <si>
    <t>Materiál</t>
  </si>
  <si>
    <t>Cestovné</t>
  </si>
  <si>
    <t>Kancelárske vybavenie</t>
  </si>
  <si>
    <t>Prevádzkové náklady</t>
  </si>
  <si>
    <t>Opisy</t>
  </si>
  <si>
    <t>Subjekt</t>
  </si>
  <si>
    <t>% z PRIAMYCH VÝDAVKOV</t>
  </si>
  <si>
    <t>Výsledok / Aktivita</t>
  </si>
  <si>
    <t>Typ výdavku</t>
  </si>
  <si>
    <t xml:space="preserve">Celkové oprávnené výdavky podľa typu </t>
  </si>
  <si>
    <t>% z Celkových oprávnených výdavkov</t>
  </si>
  <si>
    <t>NEPRIAME NÁKLADY- Článok 8.5 Nariadenia</t>
  </si>
  <si>
    <t>REZERVA - Článok 7.6.3.k Nariadenia</t>
  </si>
  <si>
    <t>PRÍSPEVOK V NATURÁLIÁCH - Článok 6.4.5 Nariadenia</t>
  </si>
  <si>
    <t>% CELKOVÝCH NÁKLADOV PROJEKTU</t>
  </si>
  <si>
    <t>10 NAJVAČŠÍCH ROZPOČTOVÝCH POLOŽIEK</t>
  </si>
  <si>
    <t>Suma</t>
  </si>
  <si>
    <t>% na celkových oprávnených výdavkov</t>
  </si>
  <si>
    <t>Predpokladaný harmonogram</t>
  </si>
  <si>
    <t>Kapitola1</t>
  </si>
  <si>
    <t>Kapitola2</t>
  </si>
  <si>
    <t>Kapitola3</t>
  </si>
  <si>
    <t>Kapitola4</t>
  </si>
  <si>
    <t>Kapitola5</t>
  </si>
  <si>
    <t>Kapitola6</t>
  </si>
  <si>
    <t>Kapitola7</t>
  </si>
  <si>
    <t>Kapitola8</t>
  </si>
  <si>
    <t>Kapitola9</t>
  </si>
  <si>
    <t>Kapitola10</t>
  </si>
  <si>
    <t>Kapitola11</t>
  </si>
  <si>
    <t>Kapitola12</t>
  </si>
  <si>
    <t>Rozpočet projektu po rozpočtových kapitolách</t>
  </si>
  <si>
    <t>Infraštruktúra (Investičné nákaldy + rezerva)</t>
  </si>
  <si>
    <t>Neinvestičné  náklady (bežné výdavky + nepriame náklady + príspevok v naturáliách)</t>
  </si>
  <si>
    <t>Bežné výdavky - cestovné</t>
  </si>
  <si>
    <t>Bežné výdavky - kancelárske zariadenie</t>
  </si>
  <si>
    <t>Bežné výdavky - prevádzkové náklady</t>
  </si>
  <si>
    <t>Bežné výdavky - odpisy</t>
  </si>
  <si>
    <t>Učitelia/profesori (akákoľvek úroveň)</t>
  </si>
  <si>
    <t>4.3 Úlohy partnerov</t>
  </si>
  <si>
    <t>6.2 Vlastnícke vzťahy k nehnuteľnostiam a majetku, ktorý je predmetom projektu</t>
  </si>
  <si>
    <t xml:space="preserve">6.3 Povolenia potrebné pre implementáciu projektu </t>
  </si>
  <si>
    <t>Rozpočet projektu podľa subjektov a aktivít</t>
  </si>
  <si>
    <t>Výsledky projektu</t>
  </si>
  <si>
    <t>Realizuje</t>
  </si>
  <si>
    <t>indicators_LDI_OTC1</t>
  </si>
  <si>
    <t>LDI_OTC1_IND1</t>
  </si>
  <si>
    <t>LDI_OTC1_IND2</t>
  </si>
  <si>
    <t>LDI_OTC1_IND3</t>
  </si>
  <si>
    <t>LDI_OTC1_OTP1_IND1</t>
  </si>
  <si>
    <t>LDI_OTC1_OTP1_IND2</t>
  </si>
  <si>
    <t>LDI_OTC1_OTP1_IND3</t>
  </si>
  <si>
    <t>LDI_OTC1_OTP1_IND4</t>
  </si>
  <si>
    <t>LDI_OTC1_OTP1_IND5</t>
  </si>
  <si>
    <t>indicators_LDI_OTC2</t>
  </si>
  <si>
    <t>LDI_OTC2_IND1</t>
  </si>
  <si>
    <t>LDI_OTC2_IND2</t>
  </si>
  <si>
    <t>LDI_OTC2_IND3</t>
  </si>
  <si>
    <t>LDI_OTC2_OTP1_IND1</t>
  </si>
  <si>
    <t>LDI_OTC2_OTP1_IND2</t>
  </si>
  <si>
    <t>LDI_OTC2_OTP1_IND3</t>
  </si>
  <si>
    <t>LDI_OTC2_OTP1_IND4</t>
  </si>
  <si>
    <t>LDI_OTC2_OTP1_IND5</t>
  </si>
  <si>
    <t>LDI_OTC2_OTP2_IND1</t>
  </si>
  <si>
    <t>LDI_OTC2_OTP2_IND2</t>
  </si>
  <si>
    <t>LDI_OTC2_OTP2_IND3</t>
  </si>
  <si>
    <t>indicators_LDI_OTC3</t>
  </si>
  <si>
    <t>LDI_OTC3_ IND1</t>
  </si>
  <si>
    <t>LDI_OTC3_OTP1_IND1</t>
  </si>
  <si>
    <t>LDI_OTC3_OTP1_IND2</t>
  </si>
  <si>
    <t>LDI_OTC3_OTP1_IND3</t>
  </si>
  <si>
    <t>LDI_OTC3_OTP1_IND4</t>
  </si>
  <si>
    <t>LDI_OTC3_OTP1_IND5</t>
  </si>
  <si>
    <t>LDI_OTC3_OTP1_IND6</t>
  </si>
  <si>
    <t>LDI_OTC3_OTP1_IND7</t>
  </si>
  <si>
    <t>indicators_LDI_OTCB</t>
  </si>
  <si>
    <t>LDI_OTCB_IND1</t>
  </si>
  <si>
    <t>LDI_OTCB_IND2</t>
  </si>
  <si>
    <t>LDI_OTCB_IND3</t>
  </si>
  <si>
    <t>LDI_OTCB_OTP1_IND1</t>
  </si>
  <si>
    <t>LDI_OTCB_OTP1_IND2</t>
  </si>
  <si>
    <t>Počet vytvorených pracovných miest (v členení podľa pohlavia, veku)</t>
  </si>
  <si>
    <t>Počet obcí so zvýšenou schopnosťou ponúknuť deťom a mládeži viacero záujmových činností</t>
  </si>
  <si>
    <t>Počet ľudí ohrozených chudobou využívajúcich služby poskytované podporovanými centrami pre mládež (v členení podľa pohlavia, veku, na Rómov)</t>
  </si>
  <si>
    <t>Počet zriadených alebo podporovaných multifunkčných centier pre mládež</t>
  </si>
  <si>
    <t>Počet právnických osôb zapojených do projektov</t>
  </si>
  <si>
    <t>Počet projektov realizovaných vo viacúrovňových a/alebo viacstranných miestnych partnerstvách[1]</t>
  </si>
  <si>
    <t>Počet terénnych sociálnych pracovníkov a/alebo rómskych mediátorov spolupracujúcich s centrami pre mládež</t>
  </si>
  <si>
    <t>Priemerné predĺženie času (v hodinách týždenne), o ktoré je centrum pre deti a mládež otvorené dlhšie</t>
  </si>
  <si>
    <t>Mzdové záznamy, pracovné zmluvy</t>
  </si>
  <si>
    <t xml:space="preserve"> Nevzťahuje sa</t>
  </si>
  <si>
    <t>Projektové zmluvy, záznamy prijímateľov</t>
  </si>
  <si>
    <t>Nevzťahuje sa</t>
  </si>
  <si>
    <t>Záznamy prijímateľov</t>
  </si>
  <si>
    <t>Priemer</t>
  </si>
  <si>
    <t xml:space="preserve">Podiel väčšinového obyvateľstva v oblasti intervencie akceptujúci Rómov </t>
  </si>
  <si>
    <t>Počet Rómov využívajúcich podporované služby (v členení podľa pohlavia, veku)</t>
  </si>
  <si>
    <t>Podiel ľudí žijúcich v marginalizovaných rómskych komunitách v oblasti intervencie projektu prijímajúcich služby</t>
  </si>
  <si>
    <t>Počet projektov uplatňujúcich integrovaný prístup (t.j. riešiacich viac ako jednu tematickú oblasť intervencie zahŕňajúcu zložky zdravia, vzdelávania, zamestnanosti, bývania a nediskriminácie)</t>
  </si>
  <si>
    <t>Počet spoločných aktivít Rómov a Nerómov</t>
  </si>
  <si>
    <t xml:space="preserve">Počet marginalizovaných rómskych komunít s investíciami do verejnej infraštruktúry znižujúcimi rozdiely medzi Rómami a Nerómami </t>
  </si>
  <si>
    <t>Počet Rómov pracujúcich v centrách</t>
  </si>
  <si>
    <t>Počet marginalizovaných rómskych komunít, ktorým boli služby poskytnuté</t>
  </si>
  <si>
    <t>Počet podporených subjektov / aktérov pôsobiacich v oblasti sociálnej inklúzie marginalizovaných rómskych komunít</t>
  </si>
  <si>
    <t>Počet osvedčených postupov, ktoré sa opakovane použili v marginalizovaných rómskych komunitách</t>
  </si>
  <si>
    <t>Počet vytvorených alebo podporených partnerstiev viacerých zainteresovaných strán[1]</t>
  </si>
  <si>
    <t>(+25 %)</t>
  </si>
  <si>
    <t xml:space="preserve">Záznamy prijímateľov, Prezenčné listiny </t>
  </si>
  <si>
    <t>Projektové zmluvy, partnerské dohody, záznamy prijímateľov</t>
  </si>
  <si>
    <t>Počet vzdelávacích inštitúcií, ktoré majú zavedené osnovy rómskeho jazyka alebo kultúry</t>
  </si>
  <si>
    <t xml:space="preserve">Počet škôl, ktoré uplatňujú modely inkluzívneho vzdelávania </t>
  </si>
  <si>
    <t xml:space="preserve">Počet učebníc a metodických materiálov zahŕňajúcich rómsku históriu a jazyk  distribuovaných medzi učiteľov a žiakov základných a stredných škôl </t>
  </si>
  <si>
    <t>Počet učiteľov materských, základných a stredných škôl pracujúcich s rómskymi deťmi vyškolených v inovačných vzdelávacích postupoch (v členení podľa pohlavia, na Rómov)</t>
  </si>
  <si>
    <t>Počet administratívnych a riadiacich pracovníkov škôl pracujúcich s rómskymi deťmi vyškolených v inovačných vzdelávacích postupoch (v členení podľa pohlavia, na Rómov)</t>
  </si>
  <si>
    <t>Počet uchádzačov o miesto učiteľa rómskeho jazyka pripravených na štátnu jazykovú skúšku (v členení podľa pohlavia, na Rómov)</t>
  </si>
  <si>
    <t>Počet multiplikátorov / školiteľov vyškolených v oblasti výchovy k demokratickému občianstvu (EDC) a výchovy k ľudským právam (HRE) (v členení podľa pohlavia, na Rómov)</t>
  </si>
  <si>
    <t>Počet odborných pracovníkov vyškolených v oblasti výchovy k demokratickému občianstvu (EDC) a výchovy k ľudským právam (HRE) (v členení podľa pohlavia, na Rómov)</t>
  </si>
  <si>
    <t>Záznamy prijímateľa</t>
  </si>
  <si>
    <t xml:space="preserve">Polročne </t>
  </si>
  <si>
    <t>Výtlačky učebníc a metodických materiálov</t>
  </si>
  <si>
    <t>Úroveň dôvery medzi spolupracujúcimi subjektmi v prijímateľských a prispievateľských štátoch (v členení podľa typu štátu)</t>
  </si>
  <si>
    <t>Úroveň spokojnosti s partnerstvom (v členení podľa typu štátu)</t>
  </si>
  <si>
    <t>Podiel spolupracujúcich organizácií, ktoré uplatňujú znalosti získané z bilaterálneho partnerstva (v členení podľa typu štátu)</t>
  </si>
  <si>
    <t>Počet projektov zahŕňajúcich spoluprácu s donorským partnerom projektu (v členení podľa prispievateľského štátu)</t>
  </si>
  <si>
    <t>Počet pedagogických pracovníkov, ktorí sa zúčastnili študijnej návštevy v Lillehammeri (členené podľa pohlavia, na Rómov)</t>
  </si>
  <si>
    <t>Stupnica 1-7</t>
  </si>
  <si>
    <t>TBD[1]</t>
  </si>
  <si>
    <t>≥4,5 a zvýšenie oproti počiatočnej hodnote</t>
  </si>
  <si>
    <t>TBD[2]</t>
  </si>
  <si>
    <t>Ročne (VSP)</t>
  </si>
  <si>
    <t>≥50 %</t>
  </si>
  <si>
    <t>Vyhotovenia zmlúv uzatvorených s prijímateľmi, partnerských dohôd medzi prijímateľmi a partnermi projektu</t>
  </si>
  <si>
    <t xml:space="preserve">Záznamy prijímateľa, Prezenčné listiny </t>
  </si>
  <si>
    <t>Posilnený sociálny a hospodársky rozvoj najmenej rozvinutých okresov</t>
  </si>
  <si>
    <t>LDI_OTC1</t>
  </si>
  <si>
    <t>indicators_LDI_OTC1_table</t>
  </si>
  <si>
    <t>LDI_OTC2</t>
  </si>
  <si>
    <t>indicators_LDI_OTC2_table</t>
  </si>
  <si>
    <t>LDI_OTC3</t>
  </si>
  <si>
    <t>indicators_LDI_OTC3_table</t>
  </si>
  <si>
    <t>LDI_OTCB</t>
  </si>
  <si>
    <t>indicators_LDI_OTC_bilateral</t>
  </si>
  <si>
    <t>indicators_LDI_OTC_bilateral_table</t>
  </si>
  <si>
    <t>Zlepšená sociálna inklúzia marginalizovaných rómskych komunít</t>
  </si>
  <si>
    <t>Zvýšené kapacity organizácií pôsobiacich v oblasti sociálnej inklúzie marginalizovaných rómskych komunít</t>
  </si>
  <si>
    <t>Zlepšená kapacita škôl pre inkluzívne  vzdelávanie</t>
  </si>
  <si>
    <t>Zlepšená spolupráca medzi subjektmi prijímateľských a prispievateľských štátov zapojených do programu</t>
  </si>
  <si>
    <t>Služby a infraštruktúra poskytnutá deťom a mládeži</t>
  </si>
  <si>
    <t>Služby poskytnuté marginalizovaným rómskym komunitám</t>
  </si>
  <si>
    <t>Posilnené postavenie detí a mládeže rómskeho pôvodu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</si>
</sst>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1"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6"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6" fillId="0" borderId="0"/>
    <xf numFmtId="0" fontId="29" fillId="0" borderId="0"/>
    <xf numFmtId="0" fontId="29" fillId="0" borderId="0"/>
    <xf numFmtId="0" fontId="29" fillId="0" borderId="0"/>
    <xf numFmtId="9" fontId="56"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702">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3" fillId="0" borderId="1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6" fillId="25" borderId="14"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8" fillId="0" borderId="0" xfId="0" applyFont="1" applyAlignment="1">
      <alignment vertical="center"/>
    </xf>
    <xf numFmtId="0" fontId="59" fillId="0" borderId="0" xfId="0" applyFont="1" applyAlignment="1">
      <alignment vertical="center"/>
    </xf>
    <xf numFmtId="0" fontId="58" fillId="0" borderId="0" xfId="0" applyFont="1" applyAlignment="1">
      <alignment horizontal="left" vertical="center"/>
    </xf>
    <xf numFmtId="0" fontId="59"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7"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2" fillId="0" borderId="19" xfId="0" applyFont="1" applyBorder="1" applyAlignment="1" applyProtection="1">
      <alignment horizontal="center" vertical="center"/>
    </xf>
    <xf numFmtId="0" fontId="72" fillId="0" borderId="20" xfId="0" applyFont="1" applyBorder="1" applyAlignment="1" applyProtection="1">
      <alignment horizontal="center" vertical="center"/>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5"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74"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5" fillId="0" borderId="0" xfId="0" applyFont="1" applyBorder="1" applyAlignment="1">
      <alignment horizontal="center" vertical="center"/>
    </xf>
    <xf numFmtId="0" fontId="75"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0" fillId="0" borderId="0" xfId="31" applyFont="1" applyBorder="1" applyAlignment="1" applyProtection="1">
      <alignment horizontal="left" vertical="center"/>
    </xf>
    <xf numFmtId="0" fontId="61" fillId="0" borderId="0" xfId="31" applyFont="1" applyBorder="1" applyAlignment="1" applyProtection="1">
      <alignment vertical="center"/>
    </xf>
    <xf numFmtId="0" fontId="61" fillId="0" borderId="0" xfId="31" applyFont="1" applyBorder="1" applyAlignment="1" applyProtection="1">
      <alignment vertical="center" wrapText="1"/>
    </xf>
    <xf numFmtId="0" fontId="62" fillId="0" borderId="0" xfId="31" applyFont="1" applyBorder="1" applyAlignment="1" applyProtection="1">
      <alignment horizontal="center" vertical="center" wrapText="1"/>
    </xf>
    <xf numFmtId="0" fontId="3" fillId="0" borderId="0" xfId="0" applyFont="1" applyAlignment="1" applyProtection="1"/>
    <xf numFmtId="0" fontId="60" fillId="0" borderId="29" xfId="31" applyFont="1" applyBorder="1" applyAlignment="1" applyProtection="1">
      <alignment horizontal="right" vertical="center"/>
    </xf>
    <xf numFmtId="0" fontId="63" fillId="30" borderId="29" xfId="31" applyFont="1" applyFill="1" applyBorder="1" applyAlignment="1" applyProtection="1">
      <alignment vertical="center"/>
    </xf>
    <xf numFmtId="0" fontId="60" fillId="0" borderId="0" xfId="31" applyFont="1" applyBorder="1" applyAlignment="1" applyProtection="1">
      <alignment horizontal="right" vertical="center"/>
    </xf>
    <xf numFmtId="0" fontId="60" fillId="0" borderId="0" xfId="31" applyFont="1" applyFill="1" applyBorder="1" applyAlignment="1" applyProtection="1">
      <alignment vertical="center" wrapText="1"/>
    </xf>
    <xf numFmtId="0" fontId="64" fillId="0" borderId="0" xfId="31" applyFont="1" applyFill="1" applyBorder="1" applyAlignment="1" applyProtection="1">
      <alignment vertical="center" wrapText="1"/>
    </xf>
    <xf numFmtId="0" fontId="61" fillId="0" borderId="0" xfId="31" applyFont="1" applyBorder="1" applyAlignment="1" applyProtection="1">
      <alignment horizontal="right" vertical="center" wrapText="1"/>
    </xf>
    <xf numFmtId="0" fontId="60" fillId="30" borderId="29" xfId="31" applyFont="1" applyFill="1" applyBorder="1" applyAlignment="1" applyProtection="1">
      <alignment horizontal="center" vertical="center" wrapText="1"/>
    </xf>
    <xf numFmtId="0" fontId="63" fillId="0" borderId="0" xfId="31" applyFont="1" applyBorder="1" applyAlignment="1" applyProtection="1">
      <alignment vertical="center"/>
    </xf>
    <xf numFmtId="0" fontId="61" fillId="30" borderId="29" xfId="31" applyFont="1" applyFill="1" applyBorder="1" applyAlignment="1" applyProtection="1">
      <alignment horizontal="center" vertical="center" wrapText="1"/>
    </xf>
    <xf numFmtId="0" fontId="60" fillId="32" borderId="30" xfId="31" applyFont="1" applyFill="1" applyBorder="1" applyAlignment="1" applyProtection="1">
      <alignment vertical="center"/>
    </xf>
    <xf numFmtId="0" fontId="60" fillId="32" borderId="28" xfId="31" applyFont="1" applyFill="1" applyBorder="1" applyAlignment="1" applyProtection="1">
      <alignment vertical="center"/>
    </xf>
    <xf numFmtId="0" fontId="3" fillId="0" borderId="0" xfId="0" applyFont="1" applyProtection="1"/>
    <xf numFmtId="0" fontId="65" fillId="32" borderId="28" xfId="31" applyFont="1" applyFill="1" applyBorder="1" applyAlignment="1" applyProtection="1">
      <alignment vertical="center"/>
    </xf>
    <xf numFmtId="0" fontId="61" fillId="32" borderId="27" xfId="31" applyFont="1" applyFill="1" applyBorder="1" applyAlignment="1" applyProtection="1">
      <alignment vertical="center" wrapText="1"/>
    </xf>
    <xf numFmtId="0" fontId="60" fillId="0" borderId="0" xfId="31" applyFont="1" applyFill="1" applyBorder="1" applyAlignment="1" applyProtection="1">
      <alignment horizontal="left" vertical="center"/>
    </xf>
    <xf numFmtId="0" fontId="66" fillId="33" borderId="36" xfId="31" applyFont="1" applyFill="1" applyBorder="1" applyAlignment="1" applyProtection="1">
      <alignment horizontal="center" vertical="center" wrapText="1"/>
    </xf>
    <xf numFmtId="0" fontId="61" fillId="30" borderId="30" xfId="31" applyFont="1" applyFill="1" applyBorder="1" applyAlignment="1" applyProtection="1">
      <alignment horizontal="left" vertical="center" wrapText="1"/>
    </xf>
    <xf numFmtId="0" fontId="67" fillId="30" borderId="27" xfId="31" applyFont="1" applyFill="1" applyBorder="1" applyAlignment="1" applyProtection="1">
      <alignment horizontal="left" vertical="center"/>
    </xf>
    <xf numFmtId="0" fontId="60" fillId="32" borderId="29" xfId="31" applyFont="1" applyFill="1" applyBorder="1" applyAlignment="1" applyProtection="1">
      <alignment horizontal="center" vertical="center"/>
    </xf>
    <xf numFmtId="0" fontId="60" fillId="0" borderId="30" xfId="31" applyFont="1" applyBorder="1" applyAlignment="1" applyProtection="1">
      <alignment horizontal="left" vertical="center" wrapText="1"/>
    </xf>
    <xf numFmtId="0" fontId="57" fillId="0" borderId="27" xfId="0" applyFont="1" applyBorder="1" applyAlignment="1" applyProtection="1">
      <alignment horizontal="left" vertical="center"/>
    </xf>
    <xf numFmtId="0" fontId="60" fillId="0" borderId="30" xfId="31" applyFont="1" applyBorder="1" applyAlignment="1" applyProtection="1">
      <alignment horizontal="left" vertical="center"/>
    </xf>
    <xf numFmtId="0" fontId="60" fillId="0" borderId="27" xfId="31" applyFont="1" applyBorder="1" applyAlignment="1" applyProtection="1">
      <alignment horizontal="left" vertical="center"/>
    </xf>
    <xf numFmtId="0" fontId="66" fillId="33" borderId="37" xfId="31" applyFont="1" applyFill="1" applyBorder="1" applyAlignment="1" applyProtection="1">
      <alignment horizontal="right" vertical="center" wrapText="1"/>
    </xf>
    <xf numFmtId="0" fontId="66" fillId="33" borderId="37" xfId="31" applyFont="1" applyFill="1" applyBorder="1" applyAlignment="1" applyProtection="1">
      <alignment horizontal="center" vertical="center" wrapText="1"/>
    </xf>
    <xf numFmtId="0" fontId="66" fillId="33" borderId="38" xfId="31" applyFont="1" applyFill="1" applyBorder="1" applyAlignment="1" applyProtection="1">
      <alignment horizontal="center" vertical="center" wrapText="1"/>
    </xf>
    <xf numFmtId="164" fontId="66" fillId="33" borderId="31" xfId="19" applyFont="1" applyFill="1" applyBorder="1" applyAlignment="1" applyProtection="1">
      <alignment horizontal="center" vertical="center" wrapText="1"/>
    </xf>
    <xf numFmtId="0" fontId="66" fillId="33" borderId="32" xfId="31" applyFont="1" applyFill="1" applyBorder="1" applyAlignment="1" applyProtection="1">
      <alignment horizontal="left" vertical="center" wrapText="1"/>
    </xf>
    <xf numFmtId="0" fontId="71" fillId="33" borderId="32" xfId="31" applyFont="1" applyFill="1" applyBorder="1" applyAlignment="1" applyProtection="1">
      <alignment horizontal="center" vertical="center" wrapText="1"/>
    </xf>
    <xf numFmtId="0" fontId="66" fillId="33" borderId="32" xfId="31" applyFont="1" applyFill="1" applyBorder="1" applyAlignment="1" applyProtection="1">
      <alignment horizontal="center" vertical="center" wrapText="1"/>
    </xf>
    <xf numFmtId="164" fontId="66" fillId="33" borderId="33" xfId="19" applyFont="1" applyFill="1" applyBorder="1" applyAlignment="1" applyProtection="1">
      <alignment horizontal="center" vertical="center" wrapText="1"/>
    </xf>
    <xf numFmtId="0" fontId="68" fillId="34" borderId="30" xfId="31" applyFont="1" applyFill="1" applyBorder="1" applyAlignment="1" applyProtection="1">
      <alignment vertical="center" wrapText="1"/>
    </xf>
    <xf numFmtId="3" fontId="69" fillId="0" borderId="33" xfId="31" applyNumberFormat="1" applyFont="1" applyBorder="1" applyAlignment="1" applyProtection="1">
      <alignment horizontal="right" vertical="center" wrapText="1"/>
    </xf>
    <xf numFmtId="3" fontId="58" fillId="30" borderId="34" xfId="31" applyNumberFormat="1" applyFont="1" applyFill="1" applyBorder="1" applyAlignment="1" applyProtection="1">
      <alignment horizontal="center" vertical="center" wrapText="1"/>
    </xf>
    <xf numFmtId="9" fontId="58" fillId="30" borderId="33" xfId="35" applyFont="1" applyFill="1" applyBorder="1" applyAlignment="1" applyProtection="1">
      <alignment horizontal="center" vertical="center"/>
    </xf>
    <xf numFmtId="0" fontId="69" fillId="28" borderId="28" xfId="31" applyFont="1" applyFill="1" applyBorder="1" applyAlignment="1" applyProtection="1">
      <alignment horizontal="right" vertical="center" wrapText="1"/>
    </xf>
    <xf numFmtId="0" fontId="69" fillId="28" borderId="27" xfId="31" applyFont="1" applyFill="1" applyBorder="1" applyAlignment="1" applyProtection="1">
      <alignment horizontal="right" vertical="center" wrapText="1"/>
    </xf>
    <xf numFmtId="0" fontId="58" fillId="30" borderId="34" xfId="31" applyFont="1" applyFill="1" applyBorder="1" applyAlignment="1" applyProtection="1">
      <alignment horizontal="center" vertical="center" wrapText="1"/>
    </xf>
    <xf numFmtId="3" fontId="70" fillId="30" borderId="33" xfId="31" applyNumberFormat="1" applyFont="1" applyFill="1" applyBorder="1" applyAlignment="1" applyProtection="1">
      <alignment vertical="center" wrapText="1"/>
    </xf>
    <xf numFmtId="3" fontId="58" fillId="30" borderId="34" xfId="31" applyNumberFormat="1" applyFont="1" applyFill="1" applyBorder="1" applyAlignment="1" applyProtection="1">
      <alignment horizontal="right" vertical="center" wrapText="1"/>
    </xf>
    <xf numFmtId="9" fontId="59" fillId="0" borderId="35" xfId="35" applyFont="1" applyBorder="1" applyAlignment="1" applyProtection="1">
      <alignment horizontal="right" vertical="center"/>
    </xf>
    <xf numFmtId="9" fontId="70" fillId="30" borderId="33" xfId="35" applyFont="1" applyFill="1" applyBorder="1" applyAlignment="1" applyProtection="1">
      <alignment horizontal="right" vertical="center" wrapText="1"/>
    </xf>
    <xf numFmtId="9" fontId="58" fillId="30" borderId="34" xfId="31" applyNumberFormat="1" applyFont="1" applyFill="1" applyBorder="1" applyAlignment="1" applyProtection="1">
      <alignment horizontal="right" vertical="center" wrapText="1"/>
    </xf>
    <xf numFmtId="9" fontId="59"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1" fillId="30" borderId="29" xfId="31" applyNumberFormat="1" applyFont="1" applyFill="1" applyBorder="1" applyAlignment="1" applyProtection="1">
      <alignment horizontal="center" vertical="center" wrapText="1"/>
    </xf>
    <xf numFmtId="0" fontId="69" fillId="28" borderId="43" xfId="31" applyFont="1" applyFill="1" applyBorder="1" applyAlignment="1" applyProtection="1">
      <alignment horizontal="right" vertical="center" wrapText="1"/>
    </xf>
    <xf numFmtId="0" fontId="69" fillId="28" borderId="34" xfId="31" applyFont="1" applyFill="1" applyBorder="1" applyAlignment="1" applyProtection="1">
      <alignment horizontal="right" vertical="center" wrapText="1"/>
    </xf>
    <xf numFmtId="0" fontId="66" fillId="33" borderId="31" xfId="31" applyFont="1" applyFill="1" applyBorder="1" applyAlignment="1" applyProtection="1">
      <alignment horizontal="center" vertical="center" wrapText="1"/>
    </xf>
    <xf numFmtId="0" fontId="66" fillId="33" borderId="33" xfId="31" applyFont="1" applyFill="1" applyBorder="1" applyAlignment="1" applyProtection="1">
      <alignment horizontal="center" vertical="center" wrapText="1"/>
    </xf>
    <xf numFmtId="0" fontId="60"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1"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6" fillId="33" borderId="44" xfId="31" applyFont="1" applyFill="1" applyBorder="1" applyAlignment="1" applyProtection="1">
      <alignment horizontal="left" vertical="center" wrapText="1"/>
    </xf>
    <xf numFmtId="3" fontId="69" fillId="0" borderId="46" xfId="31" applyNumberFormat="1" applyFont="1" applyBorder="1" applyAlignment="1" applyProtection="1">
      <alignment horizontal="left" vertical="center" wrapText="1"/>
    </xf>
    <xf numFmtId="3" fontId="69" fillId="0" borderId="48" xfId="31" applyNumberFormat="1" applyFont="1" applyBorder="1" applyAlignment="1" applyProtection="1">
      <alignment horizontal="left" vertical="center" wrapText="1"/>
    </xf>
    <xf numFmtId="0" fontId="66" fillId="33" borderId="45" xfId="31" applyFont="1" applyFill="1" applyBorder="1" applyAlignment="1" applyProtection="1">
      <alignment horizontal="center" vertical="center" wrapText="1"/>
    </xf>
    <xf numFmtId="0" fontId="66" fillId="33" borderId="50" xfId="31" applyFont="1" applyFill="1" applyBorder="1" applyAlignment="1" applyProtection="1">
      <alignment horizontal="center" vertical="center" wrapText="1"/>
    </xf>
    <xf numFmtId="0" fontId="58" fillId="30" borderId="19" xfId="31" applyFont="1" applyFill="1" applyBorder="1" applyAlignment="1" applyProtection="1">
      <alignment horizontal="center" vertical="center" wrapText="1"/>
    </xf>
    <xf numFmtId="9" fontId="58" fillId="30" borderId="47" xfId="35" applyFont="1" applyFill="1" applyBorder="1" applyAlignment="1" applyProtection="1">
      <alignment horizontal="center" vertical="center"/>
    </xf>
    <xf numFmtId="0" fontId="58" fillId="30" borderId="51" xfId="31" applyFont="1" applyFill="1" applyBorder="1" applyAlignment="1" applyProtection="1">
      <alignment horizontal="center" vertical="center" wrapText="1"/>
    </xf>
    <xf numFmtId="9" fontId="58"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8"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4" fillId="39" borderId="0" xfId="0" applyFont="1" applyFill="1" applyAlignment="1" applyProtection="1">
      <alignment vertical="center"/>
    </xf>
    <xf numFmtId="0" fontId="73" fillId="39" borderId="0" xfId="0" applyFont="1" applyFill="1" applyAlignment="1" applyProtection="1">
      <alignment vertical="center"/>
    </xf>
    <xf numFmtId="0" fontId="74" fillId="0" borderId="0" xfId="0" applyFont="1" applyFill="1" applyBorder="1" applyAlignment="1" applyProtection="1">
      <alignment vertical="center"/>
    </xf>
    <xf numFmtId="0" fontId="60" fillId="30" borderId="27" xfId="31" applyFont="1" applyFill="1" applyBorder="1" applyAlignment="1" applyProtection="1">
      <alignment horizontal="center" vertical="center"/>
    </xf>
    <xf numFmtId="0" fontId="60" fillId="32" borderId="27" xfId="31" applyFont="1" applyFill="1" applyBorder="1" applyAlignment="1" applyProtection="1">
      <alignment horizontal="center" vertical="center"/>
    </xf>
    <xf numFmtId="0" fontId="61"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79" fillId="0" borderId="0" xfId="0" applyFont="1" applyProtection="1"/>
    <xf numFmtId="0" fontId="73"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0"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9" fillId="0" borderId="19" xfId="0" applyFont="1" applyFill="1" applyBorder="1" applyAlignment="1" applyProtection="1">
      <alignment horizontal="center" vertical="center" wrapText="1"/>
    </xf>
    <xf numFmtId="0" fontId="21" fillId="0" borderId="0" xfId="0" applyFont="1" applyFill="1" applyBorder="1" applyAlignment="1" applyProtection="1">
      <alignment horizontal="right" vertical="center" indent="1"/>
    </xf>
    <xf numFmtId="0" fontId="1" fillId="0" borderId="0" xfId="0" applyFont="1" applyBorder="1" applyAlignment="1" applyProtection="1">
      <alignment horizontal="right" vertical="center"/>
    </xf>
    <xf numFmtId="0" fontId="1" fillId="0" borderId="0" xfId="0" applyFont="1" applyBorder="1" applyAlignment="1" applyProtection="1">
      <alignment horizontal="right" vertical="center" wrapText="1"/>
    </xf>
    <xf numFmtId="0" fontId="24" fillId="0" borderId="19" xfId="0" applyFont="1" applyBorder="1" applyAlignment="1" applyProtection="1">
      <alignment horizontal="center" vertical="center"/>
    </xf>
    <xf numFmtId="0" fontId="1" fillId="0" borderId="11" xfId="0" applyFont="1" applyFill="1" applyBorder="1" applyAlignment="1" applyProtection="1">
      <alignment horizontal="right" vertical="center" indent="1"/>
    </xf>
    <xf numFmtId="0" fontId="3" fillId="0" borderId="0" xfId="0" applyFont="1" applyFill="1" applyAlignment="1"/>
    <xf numFmtId="3" fontId="3" fillId="0" borderId="0" xfId="0" applyNumberFormat="1" applyFont="1" applyAlignment="1"/>
    <xf numFmtId="10" fontId="3" fillId="0" borderId="0" xfId="0" applyNumberFormat="1" applyFont="1" applyAlignment="1"/>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28" borderId="20" xfId="0" applyNumberFormat="1" applyFont="1" applyFill="1" applyBorder="1" applyAlignment="1" applyProtection="1">
      <alignment vertical="center" wrapText="1"/>
      <protection locked="0"/>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1" fillId="28" borderId="20" xfId="0" applyFont="1"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4" fillId="0" borderId="13" xfId="0" applyFont="1" applyFill="1" applyBorder="1" applyAlignment="1" applyProtection="1">
      <alignment horizontal="center" vertical="center"/>
    </xf>
    <xf numFmtId="0" fontId="1"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1"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4" fillId="0" borderId="12" xfId="0" applyFont="1" applyFill="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20" fillId="0" borderId="10" xfId="0" applyFont="1" applyFill="1" applyBorder="1" applyAlignment="1" applyProtection="1">
      <alignment horizontal="right" vertical="center"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4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1" fillId="0" borderId="0" xfId="34" applyNumberFormat="1" applyFont="1" applyBorder="1" applyAlignment="1" applyProtection="1">
      <alignment horizontal="center" vertical="center" wrapText="1"/>
    </xf>
    <xf numFmtId="49" fontId="1" fillId="0" borderId="41"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0" fontId="1" fillId="28" borderId="20" xfId="0" applyFont="1" applyFill="1" applyBorder="1" applyAlignment="1" applyProtection="1">
      <alignment horizontal="center" vertical="center" wrapText="1"/>
      <protection locked="0"/>
    </xf>
    <xf numFmtId="0" fontId="30" fillId="0" borderId="11" xfId="0" applyFont="1" applyFill="1" applyBorder="1" applyAlignment="1" applyProtection="1">
      <alignment horizontal="right" vertical="center" wrapText="1"/>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1" fillId="25" borderId="14" xfId="0" applyFont="1"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1" fillId="25" borderId="14" xfId="0" applyFont="1"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1" fillId="0" borderId="10" xfId="0" applyFont="1" applyFill="1" applyBorder="1" applyAlignment="1" applyProtection="1">
      <alignment horizontal="right" vertical="center" wrapText="1" indent="1"/>
    </xf>
    <xf numFmtId="0" fontId="1" fillId="0" borderId="0" xfId="0" applyFont="1" applyFill="1" applyBorder="1" applyAlignment="1" applyProtection="1">
      <alignment horizontal="right" vertical="center" wrapText="1" indent="1"/>
    </xf>
    <xf numFmtId="0" fontId="1" fillId="0" borderId="4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8" fillId="0" borderId="40"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1" fillId="0" borderId="20" xfId="0" applyFont="1"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0" fontId="21"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69" fillId="28" borderId="28" xfId="31" applyFont="1" applyFill="1" applyBorder="1" applyAlignment="1" applyProtection="1">
      <alignment horizontal="right" vertical="center" wrapText="1"/>
    </xf>
    <xf numFmtId="0" fontId="66"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2" fillId="30" borderId="30" xfId="31" applyFont="1" applyFill="1" applyBorder="1" applyAlignment="1" applyProtection="1">
      <alignment vertical="center"/>
    </xf>
    <xf numFmtId="0" fontId="62" fillId="30" borderId="28" xfId="31" applyFont="1" applyFill="1" applyBorder="1" applyAlignment="1" applyProtection="1">
      <alignment vertical="center"/>
    </xf>
    <xf numFmtId="0" fontId="62" fillId="30" borderId="27" xfId="31" applyFont="1" applyFill="1" applyBorder="1" applyAlignment="1" applyProtection="1">
      <alignment vertical="center"/>
    </xf>
    <xf numFmtId="0" fontId="62" fillId="31" borderId="30" xfId="31" applyFont="1" applyFill="1" applyBorder="1" applyAlignment="1" applyProtection="1">
      <alignment vertical="center"/>
    </xf>
    <xf numFmtId="0" fontId="62" fillId="31" borderId="28" xfId="31" applyFont="1" applyFill="1" applyBorder="1" applyAlignment="1" applyProtection="1">
      <alignment vertical="center"/>
    </xf>
    <xf numFmtId="0" fontId="62" fillId="31" borderId="27" xfId="31" applyFont="1" applyFill="1" applyBorder="1" applyAlignment="1" applyProtection="1">
      <alignment vertical="center"/>
    </xf>
    <xf numFmtId="0" fontId="66"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1" fillId="32" borderId="28" xfId="31" applyFont="1" applyFill="1" applyBorder="1" applyAlignment="1" applyProtection="1">
      <alignment vertical="center" wrapText="1"/>
    </xf>
    <xf numFmtId="0" fontId="0" fillId="0" borderId="27" xfId="0" applyBorder="1" applyAlignment="1">
      <alignment vertical="center"/>
    </xf>
    <xf numFmtId="0" fontId="61" fillId="32" borderId="30" xfId="31" applyFont="1" applyFill="1" applyBorder="1" applyAlignment="1" applyProtection="1">
      <alignment vertical="center" wrapText="1"/>
    </xf>
    <xf numFmtId="0" fontId="61" fillId="32" borderId="27" xfId="31" applyFont="1" applyFill="1" applyBorder="1" applyAlignment="1" applyProtection="1">
      <alignment vertical="center" wrapText="1"/>
    </xf>
    <xf numFmtId="0" fontId="61"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4">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Prehlad!$B$96</c:f>
              <c:strCache>
                <c:ptCount val="1"/>
                <c:pt idx="0">
                  <c:v>Začiatok</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Prehlad!$C$96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107627648"/>
        <c:axId val="110499328"/>
      </c:barChart>
      <c:catAx>
        <c:axId val="107627648"/>
        <c:scaling>
          <c:orientation val="maxMin"/>
        </c:scaling>
        <c:delete val="1"/>
        <c:axPos val="l"/>
        <c:numFmt formatCode="General" sourceLinked="1"/>
        <c:majorTickMark val="none"/>
        <c:minorTickMark val="none"/>
        <c:tickLblPos val="nextTo"/>
        <c:crossAx val="110499328"/>
        <c:crosses val="autoZero"/>
        <c:auto val="1"/>
        <c:lblAlgn val="ctr"/>
        <c:lblOffset val="100"/>
        <c:noMultiLvlLbl val="0"/>
      </c:catAx>
      <c:valAx>
        <c:axId val="110499328"/>
        <c:scaling>
          <c:orientation val="minMax"/>
          <c:max val="48"/>
          <c:min val="0"/>
        </c:scaling>
        <c:delete val="0"/>
        <c:axPos val="t"/>
        <c:majorGridlines>
          <c:spPr>
            <a:ln>
              <a:noFill/>
            </a:ln>
          </c:spPr>
        </c:majorGridlines>
        <c:numFmt formatCode="General" sourceLinked="0"/>
        <c:majorTickMark val="none"/>
        <c:minorTickMark val="none"/>
        <c:tickLblPos val="nextTo"/>
        <c:crossAx val="107627648"/>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703</xdr:row>
          <xdr:rowOff>0</xdr:rowOff>
        </xdr:from>
        <xdr:to>
          <xdr:col>11</xdr:col>
          <xdr:colOff>161925</xdr:colOff>
          <xdr:row>703</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Bližšie opíšte, kde bude</a:t>
          </a:r>
          <a:r>
            <a:rPr lang="sk-SK" sz="1000" baseline="0">
              <a:latin typeface="Arial" panose="020B0604020202020204" pitchFamily="34" charset="0"/>
              <a:cs typeface="Arial" panose="020B0604020202020204" pitchFamily="34" charset="0"/>
            </a:rPr>
            <a:t> projekt realizovaný. Vymažte predpísaný text. Nepresiahnite fixne stanovenú veľkosť poľa.</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Prečo je projekt potrebný? Akú situáciu alebo problém sa projekt zameriava (</a:t>
          </a:r>
          <a:r>
            <a:rPr lang="sk-SK" sz="1000"/>
            <a:t>uveďte zdroje preukázania situácie, resp. problému, prípadne uveďte odkaz na príslušné zákony, stratégie  alebo politiky, ak relevantné).</a:t>
          </a:r>
          <a:r>
            <a:rPr lang="sk-SK" sz="1000" b="0" i="1" u="none" strike="noStrike" baseline="0" smtClean="0">
              <a:solidFill>
                <a:schemeClr val="dk1"/>
              </a:solidFill>
              <a:latin typeface="+mn-lt"/>
              <a:ea typeface="+mn-ea"/>
              <a:cs typeface="+mn-cs"/>
            </a:rPr>
            <a:t> </a:t>
          </a:r>
        </a:p>
        <a:p>
          <a:r>
            <a:rPr lang="sk-SK" sz="1000" i="1"/>
            <a:t>Ako bude projekt riešiť tieto problémy? </a:t>
          </a:r>
          <a:r>
            <a:rPr lang="sk-SK" sz="1000"/>
            <a:t>(zhrňte hlavné plánované aktivity a výsledky,</a:t>
          </a:r>
          <a:r>
            <a:rPr lang="sk-SK" sz="1000" baseline="0"/>
            <a:t> ktoré by mali tieto problémy riešiť</a:t>
          </a:r>
          <a:r>
            <a:rPr lang="sk-SK" sz="1000"/>
            <a:t>).</a:t>
          </a:r>
          <a:br>
            <a:rPr lang="sk-SK" sz="1000"/>
          </a:br>
          <a:r>
            <a:rPr lang="sk-SK" sz="1000" i="1"/>
            <a:t>Čo plánuje projekt dosiahnuť?</a:t>
          </a:r>
          <a:r>
            <a:rPr lang="sk-SK" sz="1000"/>
            <a:t/>
          </a:r>
          <a:br>
            <a:rPr lang="sk-SK" sz="1000"/>
          </a:br>
          <a:r>
            <a:rPr lang="sk-SK" sz="1000" i="1"/>
            <a:t>Kto by</a:t>
          </a:r>
          <a:r>
            <a:rPr lang="sk-SK" sz="1000" i="1" baseline="0"/>
            <a:t> mal </a:t>
          </a:r>
          <a:r>
            <a:rPr lang="sk-SK" sz="1000" i="1"/>
            <a:t>mať prospech z tohto projektu a aký bude tento prospech?</a:t>
          </a:r>
          <a:br>
            <a:rPr lang="sk-SK" sz="1000" i="1"/>
          </a:br>
          <a:r>
            <a:rPr lang="sk-SK" sz="1000" i="1"/>
            <a:t>Pre každého partnera projektu uveďte, aká pridaná hodnota hodnota sa od partnerstva očakáva.</a:t>
          </a:r>
          <a:endParaRPr lang="sk-SK" sz="1000" b="0" i="1" u="none" strike="noStrike" baseline="0" smtClean="0">
            <a:solidFill>
              <a:schemeClr val="dk1"/>
            </a:solidFill>
            <a:latin typeface="+mn-lt"/>
            <a:ea typeface="+mn-ea"/>
            <a:cs typeface="+mn-cs"/>
          </a:endParaRPr>
        </a:p>
        <a:p>
          <a:r>
            <a:rPr lang="sk-SK" sz="1000" b="0" i="1" u="none" strike="noStrike" baseline="0" smtClean="0">
              <a:solidFill>
                <a:schemeClr val="dk1"/>
              </a:solidFill>
              <a:latin typeface="+mn-lt"/>
              <a:ea typeface="+mn-ea"/>
              <a:cs typeface="+mn-cs"/>
            </a:rPr>
            <a:t>	</a:t>
          </a:r>
        </a:p>
        <a:p>
          <a:endParaRPr lang="sk-SK" sz="1000" i="1"/>
        </a:p>
        <a:p>
          <a:r>
            <a:rPr lang="sk-SK" sz="1000" b="0" i="1" u="none" strike="noStrike" baseline="0" smtClean="0">
              <a:solidFill>
                <a:schemeClr val="dk1"/>
              </a:solidFill>
              <a:latin typeface="+mn-lt"/>
              <a:ea typeface="+mn-ea"/>
              <a:cs typeface="+mn-cs"/>
            </a:rPr>
            <a:t>Tipy: </a:t>
          </a:r>
        </a:p>
        <a:p>
          <a:r>
            <a:rPr lang="sk-SK" sz="1000" b="0" i="1" u="none" strike="noStrike" baseline="0" smtClean="0">
              <a:solidFill>
                <a:schemeClr val="dk1"/>
              </a:solidFill>
              <a:latin typeface="+mn-lt"/>
              <a:ea typeface="+mn-ea"/>
              <a:cs typeface="+mn-cs"/>
            </a:rPr>
            <a:t>Pokúste sa napísať zhrnutie tak jasne, ako sa len dá. Majte pritom na pamäti: nasledovné: </a:t>
          </a:r>
        </a:p>
        <a:p>
          <a:r>
            <a:rPr lang="sk-SK" sz="1000" b="0" i="1" u="none" strike="noStrike" baseline="0" smtClean="0">
              <a:solidFill>
                <a:schemeClr val="dk1"/>
              </a:solidFill>
              <a:latin typeface="+mn-lt"/>
              <a:ea typeface="+mn-ea"/>
              <a:cs typeface="+mn-cs"/>
            </a:rPr>
            <a:t>• Vyhnite sa žargónu, technickým termínom a skratkám. Používajte krátke a výstižné vety. Zhrnutia budú zverejňované a mali by byť pochopiteľné pre širokú verejnosť.</a:t>
          </a:r>
        </a:p>
        <a:p>
          <a:r>
            <a:rPr lang="sk-SK" sz="1000" b="0" i="1" u="none" strike="noStrike" baseline="0" smtClean="0">
              <a:solidFill>
                <a:schemeClr val="dk1"/>
              </a:solidFill>
              <a:latin typeface="+mn-lt"/>
              <a:ea typeface="+mn-ea"/>
              <a:cs typeface="+mn-cs"/>
            </a:rPr>
            <a:t>o Nepoužite: “Projekt skúma, </a:t>
          </a:r>
          <a:r>
            <a:rPr lang="sk-SK" sz="1000" b="1" i="1" u="none" strike="noStrike" baseline="0" smtClean="0">
              <a:solidFill>
                <a:schemeClr val="dk1"/>
              </a:solidFill>
              <a:latin typeface="+mn-lt"/>
              <a:ea typeface="+mn-ea"/>
              <a:cs typeface="+mn-cs"/>
            </a:rPr>
            <a:t>ako realizovať poskytovanie základných služieb osobám nedobrovoľne bez bydliska</a:t>
          </a:r>
          <a:r>
            <a:rPr lang="sk-SK" sz="1000" b="0" i="1" u="none" strike="noStrike" baseline="0" smtClean="0">
              <a:solidFill>
                <a:schemeClr val="dk1"/>
              </a:solidFill>
              <a:latin typeface="+mn-lt"/>
              <a:ea typeface="+mn-ea"/>
              <a:cs typeface="+mn-cs"/>
            </a:rPr>
            <a:t>. </a:t>
          </a:r>
        </a:p>
        <a:p>
          <a:r>
            <a:rPr lang="sk-SK" sz="1100" b="0" i="1" baseline="0">
              <a:solidFill>
                <a:schemeClr val="dk1"/>
              </a:solidFill>
              <a:effectLst/>
              <a:latin typeface="+mn-lt"/>
              <a:ea typeface="+mn-ea"/>
              <a:cs typeface="+mn-cs"/>
            </a:rPr>
            <a:t>o </a:t>
          </a:r>
          <a:r>
            <a:rPr lang="sk-SK" sz="1000" b="0" i="1" u="none" strike="noStrike" baseline="0" smtClean="0">
              <a:solidFill>
                <a:schemeClr val="dk1"/>
              </a:solidFill>
              <a:latin typeface="+mn-lt"/>
              <a:ea typeface="+mn-ea"/>
              <a:cs typeface="+mn-cs"/>
            </a:rPr>
            <a:t>Použite: “Projekt skúma, ako </a:t>
          </a:r>
          <a:r>
            <a:rPr lang="sk-SK" sz="1000" b="1" i="1" u="none" strike="noStrike" baseline="0" smtClean="0">
              <a:solidFill>
                <a:schemeClr val="dk1"/>
              </a:solidFill>
              <a:latin typeface="+mn-lt"/>
              <a:ea typeface="+mn-ea"/>
              <a:cs typeface="+mn-cs"/>
            </a:rPr>
            <a:t>poskytovať zdravotnú starostlivosť a iné sociálne služby bezdomovcom</a:t>
          </a:r>
          <a:r>
            <a:rPr lang="sk-SK" sz="1000" b="0" i="1" u="none" strike="noStrike" baseline="0" smtClean="0">
              <a:solidFill>
                <a:schemeClr val="dk1"/>
              </a:solidFill>
              <a:latin typeface="+mn-lt"/>
              <a:ea typeface="+mn-ea"/>
              <a:cs typeface="+mn-cs"/>
            </a:rPr>
            <a:t>” </a:t>
          </a:r>
        </a:p>
        <a:p>
          <a:endParaRPr lang="sk-SK" sz="1000" b="0" i="1" u="none" strike="noStrike" baseline="0" smtClean="0">
            <a:solidFill>
              <a:schemeClr val="dk1"/>
            </a:solidFill>
            <a:latin typeface="+mn-lt"/>
            <a:ea typeface="+mn-ea"/>
            <a:cs typeface="+mn-cs"/>
          </a:endParaRPr>
        </a:p>
        <a:p>
          <a:r>
            <a:rPr lang="sk-SK" sz="1000" b="0" i="1" u="none" strike="noStrike" baseline="0" smtClean="0">
              <a:solidFill>
                <a:schemeClr val="dk1"/>
              </a:solidFill>
              <a:latin typeface="+mn-lt"/>
              <a:ea typeface="+mn-ea"/>
              <a:cs typeface="+mn-cs"/>
            </a:rPr>
            <a:t>Vyhnite</a:t>
          </a:r>
        </a:p>
        <a:p>
          <a:r>
            <a:rPr lang="sk-SK" sz="1000" b="0" i="1" u="none" strike="noStrike" baseline="0" smtClean="0">
              <a:solidFill>
                <a:schemeClr val="dk1"/>
              </a:solidFill>
              <a:latin typeface="+mn-lt"/>
              <a:ea typeface="+mn-ea"/>
              <a:cs typeface="+mn-cs"/>
            </a:rPr>
            <a:t>• Vyhnite sa trpným príčastiam vždy, ak je to možné: Buďte priamy. </a:t>
          </a:r>
        </a:p>
        <a:p>
          <a:r>
            <a:rPr lang="sk-SK" sz="1000" b="0" i="1" u="none" strike="noStrike" baseline="0" smtClean="0">
              <a:solidFill>
                <a:schemeClr val="dk1"/>
              </a:solidFill>
              <a:latin typeface="+mn-lt"/>
              <a:ea typeface="+mn-ea"/>
              <a:cs typeface="+mn-cs"/>
            </a:rPr>
            <a:t>o </a:t>
          </a:r>
          <a:r>
            <a:rPr lang="sk-SK" sz="1000" b="0" i="1" u="none" strike="noStrike" baseline="0">
              <a:solidFill>
                <a:schemeClr val="dk1"/>
              </a:solidFill>
              <a:latin typeface="+mn-lt"/>
              <a:ea typeface="+mn-ea"/>
              <a:cs typeface="+mn-cs"/>
            </a:rPr>
            <a:t>Nepoužite</a:t>
          </a:r>
          <a:r>
            <a:rPr lang="sk-SK" sz="1000" b="0" i="1" u="none" strike="noStrike" baseline="0" smtClean="0">
              <a:solidFill>
                <a:schemeClr val="dk1"/>
              </a:solidFill>
              <a:latin typeface="+mn-lt"/>
              <a:ea typeface="+mn-ea"/>
              <a:cs typeface="+mn-cs"/>
            </a:rPr>
            <a:t>: “</a:t>
          </a:r>
          <a:r>
            <a:rPr lang="sk-SK" sz="1000" b="1" i="1" u="none" strike="noStrike" baseline="0" smtClean="0">
              <a:solidFill>
                <a:schemeClr val="dk1"/>
              </a:solidFill>
              <a:latin typeface="+mn-lt"/>
              <a:ea typeface="+mn-ea"/>
              <a:cs typeface="+mn-cs"/>
            </a:rPr>
            <a:t>Bude realizovaná štúdia</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Použite: “Project </a:t>
          </a:r>
          <a:r>
            <a:rPr lang="sk-SK" sz="1000" b="1" i="1" u="none" strike="noStrike" baseline="0" smtClean="0">
              <a:solidFill>
                <a:schemeClr val="dk1"/>
              </a:solidFill>
              <a:latin typeface="+mn-lt"/>
              <a:ea typeface="+mn-ea"/>
              <a:cs typeface="+mn-cs"/>
            </a:rPr>
            <a:t>obsahuje štúdiu</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Zrealizujeme</a:t>
          </a:r>
          <a:r>
            <a:rPr lang="sk-SK" sz="1000" b="0" i="1" u="none" strike="noStrike" baseline="0" smtClean="0">
              <a:solidFill>
                <a:schemeClr val="dk1"/>
              </a:solidFill>
              <a:latin typeface="+mn-lt"/>
              <a:ea typeface="+mn-ea"/>
              <a:cs typeface="+mn-cs"/>
            </a:rPr>
            <a:t> štúdiu” </a:t>
          </a:r>
        </a:p>
        <a:p>
          <a:r>
            <a:rPr lang="sk-SK" sz="1000" b="0" i="0" u="none" strike="noStrike" baseline="0" smtClean="0">
              <a:solidFill>
                <a:schemeClr val="dk1"/>
              </a:solidFill>
              <a:latin typeface="+mn-lt"/>
              <a:ea typeface="+mn-ea"/>
              <a:cs typeface="+mn-cs"/>
            </a:rPr>
            <a:t>	</a:t>
          </a:r>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baseline="0">
              <a:latin typeface="Arial" panose="020B0604020202020204" pitchFamily="34" charset="0"/>
              <a:cs typeface="Arial" panose="020B0604020202020204" pitchFamily="34" charset="0"/>
            </a:rPr>
            <a:t>- ktoré z indikátorov projektu budú realizáciou aktivity dosiahnuté, </a:t>
          </a:r>
        </a:p>
        <a:p>
          <a:pPr>
            <a:lnSpc>
              <a:spcPts val="1100"/>
            </a:lnSpc>
          </a:pPr>
          <a:r>
            <a:rPr lang="sk-SK" sz="1000" baseline="0">
              <a:latin typeface="Arial" panose="020B0604020202020204" pitchFamily="34" charset="0"/>
              <a:cs typeface="Arial" panose="020B0604020202020204" pitchFamily="34" charset="0"/>
            </a:rPr>
            <a:t>- predpokladaný časový harmonogram aktivity,</a:t>
          </a:r>
        </a:p>
        <a:p>
          <a:pPr>
            <a:lnSpc>
              <a:spcPts val="1100"/>
            </a:lnSpc>
          </a:pPr>
          <a:r>
            <a:rPr lang="sk-SK" sz="1000" baseline="0">
              <a:latin typeface="Arial" panose="020B0604020202020204" pitchFamily="34" charset="0"/>
              <a:cs typeface="Arial" panose="020B0604020202020204" pitchFamily="34" charset="0"/>
            </a:rPr>
            <a:t>- hlavné subjekty zapojené do realizácie aktivity (žiadateľ, partner1 ...)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248</xdr:row>
      <xdr:rowOff>0</xdr:rowOff>
    </xdr:from>
    <xdr:to>
      <xdr:col>10</xdr:col>
      <xdr:colOff>809624</xdr:colOff>
      <xdr:row>265</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277</xdr:row>
      <xdr:rowOff>0</xdr:rowOff>
    </xdr:from>
    <xdr:to>
      <xdr:col>11</xdr:col>
      <xdr:colOff>0</xdr:colOff>
      <xdr:row>294</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303</xdr:row>
      <xdr:rowOff>0</xdr:rowOff>
    </xdr:from>
    <xdr:to>
      <xdr:col>11</xdr:col>
      <xdr:colOff>0</xdr:colOff>
      <xdr:row>320</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332</xdr:row>
      <xdr:rowOff>0</xdr:rowOff>
    </xdr:from>
    <xdr:to>
      <xdr:col>11</xdr:col>
      <xdr:colOff>0</xdr:colOff>
      <xdr:row>349</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358</xdr:row>
      <xdr:rowOff>19050</xdr:rowOff>
    </xdr:from>
    <xdr:to>
      <xdr:col>11</xdr:col>
      <xdr:colOff>0</xdr:colOff>
      <xdr:row>375</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387</xdr:row>
      <xdr:rowOff>0</xdr:rowOff>
    </xdr:from>
    <xdr:to>
      <xdr:col>10</xdr:col>
      <xdr:colOff>809624</xdr:colOff>
      <xdr:row>404</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413</xdr:row>
      <xdr:rowOff>0</xdr:rowOff>
    </xdr:from>
    <xdr:to>
      <xdr:col>11</xdr:col>
      <xdr:colOff>0</xdr:colOff>
      <xdr:row>430</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a:solidFill>
                <a:schemeClr val="dk1"/>
              </a:solidFill>
              <a:effectLst/>
              <a:latin typeface="+mn-lt"/>
              <a:ea typeface="+mn-ea"/>
              <a:cs typeface="+mn-cs"/>
            </a:rPr>
            <a:t>Opíšte Vašu organizáciu, hlavné pole pôsobnosti, históriu Vašej organizácie, skúsenosti s realizáciou obdobných projektov a ďalšie dôležité informácie, ktoré sa týkajú Vašej organizácie. </a:t>
          </a:r>
        </a:p>
        <a:p>
          <a:endParaRPr lang="sk-SK" sz="1100">
            <a:solidFill>
              <a:schemeClr val="dk1"/>
            </a:solidFill>
            <a:effectLst/>
            <a:latin typeface="+mn-lt"/>
            <a:ea typeface="+mn-ea"/>
            <a:cs typeface="+mn-cs"/>
          </a:endParaRPr>
        </a:p>
        <a:p>
          <a:r>
            <a:rPr lang="sk-SK" sz="1100">
              <a:solidFill>
                <a:schemeClr val="dk1"/>
              </a:solidFill>
              <a:effectLst/>
              <a:latin typeface="+mn-lt"/>
              <a:ea typeface="+mn-ea"/>
              <a:cs typeface="+mn-cs"/>
            </a:rPr>
            <a:t>Predpísaný text vymažte. Neprekročte stanovený rozsah formulára!</a:t>
          </a:r>
        </a:p>
      </xdr:txBody>
    </xdr:sp>
    <xdr:clientData/>
  </xdr:twoCellAnchor>
  <xdr:twoCellAnchor>
    <xdr:from>
      <xdr:col>1</xdr:col>
      <xdr:colOff>0</xdr:colOff>
      <xdr:row>802</xdr:row>
      <xdr:rowOff>0</xdr:rowOff>
    </xdr:from>
    <xdr:to>
      <xdr:col>12</xdr:col>
      <xdr:colOff>0</xdr:colOff>
      <xdr:row>839</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Komunikačný plán musí byť vytvorený s cieľom zabezpečenia zvyšovania povedomia o aktivitách projektu a o podpore z finančného mechanizmu, samotnej existencii finančného mechanizmu, programu, jeho cieľoch a spolupráci s donorskými štátmi pri realizácií projektu. Žiadateľ v rámci prípravy projektu musí detailne vymedziť, akým spôsobom bude informovať o realizácií projektu a jeho výsledkoch.</a:t>
          </a:r>
        </a:p>
        <a:p>
          <a:r>
            <a:rPr lang="sk-SK" sz="1000">
              <a:latin typeface="Arial" panose="020B0604020202020204" pitchFamily="34" charset="0"/>
              <a:cs typeface="Arial" panose="020B0604020202020204" pitchFamily="34" charset="0"/>
            </a:rPr>
            <a:t>Žiadateľ bude v prípade realizácie projektu povinný zabezpečiť:</a:t>
          </a:r>
        </a:p>
        <a:p>
          <a:r>
            <a:rPr lang="sk-SK" sz="1000">
              <a:latin typeface="Arial" panose="020B0604020202020204" pitchFamily="34" charset="0"/>
              <a:cs typeface="Arial" panose="020B0604020202020204" pitchFamily="34" charset="0"/>
            </a:rPr>
            <a:t>a.	zorganizovanie najmenej jednej otváracej konferencie Projektu,</a:t>
          </a:r>
        </a:p>
        <a:p>
          <a:r>
            <a:rPr lang="sk-SK" sz="1000">
              <a:latin typeface="Arial" panose="020B0604020202020204" pitchFamily="34" charset="0"/>
              <a:cs typeface="Arial" panose="020B0604020202020204" pitchFamily="34" charset="0"/>
            </a:rPr>
            <a:t>b.	zorganizovanie najmenej jednej záverečnej konferencie Projektu,</a:t>
          </a:r>
        </a:p>
        <a:p>
          <a:r>
            <a:rPr lang="sk-SK" sz="1000">
              <a:latin typeface="Arial" panose="020B0604020202020204" pitchFamily="34" charset="0"/>
              <a:cs typeface="Arial" panose="020B0604020202020204" pitchFamily="34" charset="0"/>
            </a:rPr>
            <a:t>c.	ak výška Projektového grantu nepresiahne 500 000 eur, konferencie podľa predchádzajúcich bodov môžu byť menšieho rozsahu,</a:t>
          </a:r>
        </a:p>
        <a:p>
          <a:r>
            <a:rPr lang="sk-SK" sz="1000">
              <a:latin typeface="Arial" panose="020B0604020202020204" pitchFamily="34" charset="0"/>
              <a:cs typeface="Arial" panose="020B0604020202020204" pitchFamily="34" charset="0"/>
            </a:rPr>
            <a:t>d.	zorganizovanie najmenej jedného ďalšieho podujatia, ktorého cieľom bude informovať o Projekte, ak výška Projektového grantu je vyššia ako 500 000 eur,</a:t>
          </a:r>
        </a:p>
        <a:p>
          <a:r>
            <a:rPr lang="sk-SK" sz="1000">
              <a:latin typeface="Arial" panose="020B0604020202020204" pitchFamily="34" charset="0"/>
              <a:cs typeface="Arial" panose="020B0604020202020204" pitchFamily="34" charset="0"/>
            </a:rPr>
            <a:t>e.	vytvorenie a pravidelnú aktualizáciu webového sídla alebo webovej stránky na existujúcom webovom sídle organizácie s informáciami o Projekte v slovenskom jazyku a odkazmi medzi webovými stránkami, </a:t>
          </a:r>
        </a:p>
        <a:p>
          <a:r>
            <a:rPr lang="sk-SK" sz="1000">
              <a:latin typeface="Arial" panose="020B0604020202020204" pitchFamily="34" charset="0"/>
              <a:cs typeface="Arial" panose="020B0604020202020204" pitchFamily="34" charset="0"/>
            </a:rPr>
            <a:t>f.	vytvorenie a pravidelnú aktualizáciu webového sídla, t.j. ucelený súbor webových stránok s pridelenou najmenej jednou doménou, napr. www.projekt.institucia.sk osobitne venovaného prezentácii informácií o Projekte v štátnom aj anglickom jazyku, ak výška Projektového grantu je vyššia ako 150 000 eur alebo sa  Projekt realizuje v partnerstve s Partnerom z Prispievateľského štátu, </a:t>
          </a:r>
        </a:p>
        <a:p>
          <a:r>
            <a:rPr lang="sk-SK" sz="1000">
              <a:latin typeface="Arial" panose="020B0604020202020204" pitchFamily="34" charset="0"/>
              <a:cs typeface="Arial" panose="020B0604020202020204" pitchFamily="34" charset="0"/>
            </a:rPr>
            <a:t>g.	plnenie indikátorov publicity podľa časti 3.3.3.,</a:t>
          </a:r>
        </a:p>
        <a:p>
          <a:r>
            <a:rPr lang="sk-SK" sz="1000">
              <a:latin typeface="Arial" panose="020B0604020202020204" pitchFamily="34" charset="0"/>
              <a:cs typeface="Arial" panose="020B0604020202020204" pitchFamily="34" charset="0"/>
            </a:rPr>
            <a:t>h.	plnenie opatrení publicity a zverejňovanie informácii v súlade s Požiadavkami pre informovanie a publicitu podľa prílohy č. 3 Nariadenia a Manuálu pre publicitu vydaného ÚFM (Communication and Design Manual) .</a:t>
          </a:r>
        </a:p>
        <a:p>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Predpísaný text vymažte. Neprekročte stanovený rozsah!</a:t>
          </a:r>
        </a:p>
      </xdr:txBody>
    </xdr:sp>
    <xdr:clientData/>
  </xdr:twoCellAnchor>
  <xdr:twoCellAnchor>
    <xdr:from>
      <xdr:col>1</xdr:col>
      <xdr:colOff>0</xdr:colOff>
      <xdr:row>785</xdr:row>
      <xdr:rowOff>0</xdr:rowOff>
    </xdr:from>
    <xdr:to>
      <xdr:col>12</xdr:col>
      <xdr:colOff>0</xdr:colOff>
      <xdr:row>800</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Akékoľvek povolenia alebo certifikáty požadované pred a/alebo počas implementácie projektu musia byť uvedené v tejto časti. Vysvetlite o aký typ povolenia / certifikátu sa jedná a uveďte referenčné číslo ako aj dátum vystavenia, začiatok a koniec platnosti resp. právoplatnosti,  prípadne očakávaného vystavenia daného povolenia / certifikátu. Predpísaný text vymažte. Neprekročte stanovený rozsah!</a:t>
          </a:r>
        </a:p>
      </xdr:txBody>
    </xdr:sp>
    <xdr:clientData/>
  </xdr:twoCellAnchor>
  <xdr:twoCellAnchor>
    <xdr:from>
      <xdr:col>1</xdr:col>
      <xdr:colOff>0</xdr:colOff>
      <xdr:row>770</xdr:row>
      <xdr:rowOff>0</xdr:rowOff>
    </xdr:from>
    <xdr:to>
      <xdr:col>12</xdr:col>
      <xdr:colOff>0</xdr:colOff>
      <xdr:row>784</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Uveďte vlastnícke vzťahy k budovám alebo pozemkom, príp. k relevantnej infraštruktúre, ktoré sú predmetom projektu. Uveďte číslo listu vlastníctva a katastrálne územie, prípadne ďalšie údaje, aby nehnuteľnosť mohla byť identifikovaná v príslušnom registri. Predpísaný text vymažte. Neprekročte stanovený rozsah!</a:t>
          </a:r>
        </a:p>
      </xdr:txBody>
    </xdr:sp>
    <xdr:clientData/>
  </xdr:twoCellAnchor>
  <xdr:twoCellAnchor>
    <xdr:from>
      <xdr:col>1</xdr:col>
      <xdr:colOff>0</xdr:colOff>
      <xdr:row>755</xdr:row>
      <xdr:rowOff>0</xdr:rowOff>
    </xdr:from>
    <xdr:to>
      <xdr:col>12</xdr:col>
      <xdr:colOff>0</xdr:colOff>
      <xdr:row>769</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Uveďte, či úspešná implementácia a ukončenie projektu závisí od konkrétnych skutočností, priaznivých a nepriaznivých, legislatívnych zmien alebo postupov v rámci Slovenskej republiky, EÚ, medzinárodných súdnych tribunálov, alebo ostatných štátov. Termín „legislatívne problémy a procedúry“  má zahŕňať akékoľvek nevyriešené právne spory, ak aj formálne neboli spustené. Ak áno, uveďte prosím, relevantné detaily. Uveďte relevantnú legislatívu a strategické dokumenty EÚ alebo SR, ktorých sa projekt týka. Predpísaný text vymažte. Neprekročte stanovený rozsah!</a:t>
          </a:r>
        </a:p>
      </xdr:txBody>
    </xdr:sp>
    <xdr:clientData/>
  </xdr:twoCellAnchor>
  <xdr:twoCellAnchor>
    <xdr:from>
      <xdr:col>1</xdr:col>
      <xdr:colOff>0</xdr:colOff>
      <xdr:row>856</xdr:row>
      <xdr:rowOff>0</xdr:rowOff>
    </xdr:from>
    <xdr:to>
      <xdr:col>12</xdr:col>
      <xdr:colOff>0</xdr:colOff>
      <xdr:row>867</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Bližšie opíšte príspevok projektu k prierezovým otázkam. Predpísaný text vymažte. Neprekročte stanovený rozsah!</a:t>
          </a:r>
        </a:p>
      </xdr:txBody>
    </xdr:sp>
    <xdr:clientData/>
  </xdr:twoCellAnchor>
  <xdr:twoCellAnchor>
    <xdr:from>
      <xdr:col>1</xdr:col>
      <xdr:colOff>0</xdr:colOff>
      <xdr:row>902</xdr:row>
      <xdr:rowOff>0</xdr:rowOff>
    </xdr:from>
    <xdr:to>
      <xdr:col>12</xdr:col>
      <xdr:colOff>0</xdr:colOff>
      <xdr:row>909</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Bližšie opíšte náklady a zdroje financovania projektu. Ak je to potrebné, do príloh doplňte dokumenty, ktoré preukazujú schopnosť Vašej organizácie financovať udržateľnosť projektu. Vo všeobecnosti sa za dôveryhodné zdroje financovania nepokladajú žiadosti o príspevky na iné granty, ktoré závisia od rozhodnutia poskytovateľa. Predpísaný text vymažte. Neprekročte stanovený rozsah formulára!</a:t>
          </a:r>
        </a:p>
      </xdr:txBody>
    </xdr:sp>
    <xdr:clientData/>
  </xdr:twoCellAnchor>
  <xdr:twoCellAnchor>
    <xdr:from>
      <xdr:col>1</xdr:col>
      <xdr:colOff>0</xdr:colOff>
      <xdr:row>929</xdr:row>
      <xdr:rowOff>0</xdr:rowOff>
    </xdr:from>
    <xdr:to>
      <xdr:col>12</xdr:col>
      <xdr:colOff>0</xdr:colOff>
      <xdr:row>940</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V poznámkach sa sústreďte najmä na dôvody, prečo nie sú priložené niektoré z povinných príloh. Predpísaný text vymažte. Neprekročte stanovený rozsah formulára!</a:t>
          </a:r>
        </a:p>
      </xdr:txBody>
    </xdr:sp>
    <xdr:clientData/>
  </xdr:twoCellAnchor>
  <xdr:twoCellAnchor>
    <xdr:from>
      <xdr:col>1</xdr:col>
      <xdr:colOff>0</xdr:colOff>
      <xdr:row>537</xdr:row>
      <xdr:rowOff>0</xdr:rowOff>
    </xdr:from>
    <xdr:to>
      <xdr:col>12</xdr:col>
      <xdr:colOff>0</xdr:colOff>
      <xdr:row>559</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Popíšte štruktúru koordinácie a riadenia projektu. Jasne načrtnite štruktúru, zodpovednosti a procesy riadenia a koordinácie projektu. Ak to je potrebné, demonštrujte štruktúry riadenia na organizačnom grafe alebo schéme a priložte ho k žiadosti. Popis by mal obsahovať stručné vysvetlenie prijatých riešení pre finančné riadenie projektu, vrátane riešení pre podávanie správ, monitorovanie a audit.</a:t>
          </a:r>
        </a:p>
        <a:p>
          <a:pPr>
            <a:lnSpc>
              <a:spcPts val="1100"/>
            </a:lnSpc>
          </a:pPr>
          <a:r>
            <a:rPr lang="sk-SK" sz="1000">
              <a:latin typeface="Arial" panose="020B0604020202020204" pitchFamily="34" charset="0"/>
              <a:cs typeface="Arial" panose="020B0604020202020204" pitchFamily="34" charset="0"/>
            </a:rPr>
            <a:t> </a:t>
          </a:r>
        </a:p>
        <a:p>
          <a:pPr>
            <a:lnSpc>
              <a:spcPts val="1100"/>
            </a:lnSpc>
          </a:pPr>
          <a:r>
            <a:rPr lang="sk-SK" sz="1000">
              <a:latin typeface="Arial" panose="020B0604020202020204" pitchFamily="34" charset="0"/>
              <a:cs typeface="Arial" panose="020B0604020202020204" pitchFamily="34" charset="0"/>
            </a:rPr>
            <a:t>Uveďte najmä:</a:t>
          </a:r>
        </a:p>
        <a:p>
          <a:pPr>
            <a:lnSpc>
              <a:spcPts val="1100"/>
            </a:lnSpc>
          </a:pPr>
          <a:r>
            <a:rPr lang="sk-SK" sz="1000">
              <a:latin typeface="Arial" panose="020B0604020202020204" pitchFamily="34" charset="0"/>
              <a:cs typeface="Arial" panose="020B0604020202020204" pitchFamily="34" charset="0"/>
            </a:rPr>
            <a:t>1. Pracovné pozície, ktoré budú zodpovedné za riadenie projektu na strane prijímateľa aj partnerov, vrátane požadovaných profesijných skúseností. Ak bude projektové riadenie riešené formou externého manažmentu (t.j. dodávateľským spôsobom) uveďte odborné, technické a iné požiadavky, ktoré budete vyžadovať. </a:t>
          </a:r>
        </a:p>
        <a:p>
          <a:pPr>
            <a:lnSpc>
              <a:spcPts val="1100"/>
            </a:lnSpc>
          </a:pPr>
          <a:r>
            <a:rPr lang="sk-SK" sz="1000">
              <a:latin typeface="Arial" panose="020B0604020202020204" pitchFamily="34" charset="0"/>
              <a:cs typeface="Arial" panose="020B0604020202020204" pitchFamily="34" charset="0"/>
            </a:rPr>
            <a:t>2. Jednotlivým pracovným pozíciám prideľte hlavnú oblasť zodpovednosti, napr. spracovanie priebežných správ o projekte (finančné riadenie a monitorovanie pokroku), vedenie účtovníctva, platby dodávateľom, spracovanie miezd a pod.  </a:t>
          </a:r>
        </a:p>
        <a:p>
          <a:pPr>
            <a:lnSpc>
              <a:spcPts val="1100"/>
            </a:lnSpc>
          </a:pPr>
          <a:r>
            <a:rPr lang="sk-SK" sz="1000">
              <a:latin typeface="Arial" panose="020B0604020202020204" pitchFamily="34" charset="0"/>
              <a:cs typeface="Arial" panose="020B0604020202020204" pitchFamily="34" charset="0"/>
            </a:rPr>
            <a:t>3. Uveďte všetky obmedzenia štatutárneho zástupcu, ku ktorým je nevyhnutné získať aj súhlas iného orgánu, napr. zriaďovateľa, zastupiteľstva, dozornej rady, správnej rady a pod.</a:t>
          </a:r>
        </a:p>
        <a:p>
          <a:pPr>
            <a:lnSpc>
              <a:spcPts val="1100"/>
            </a:lnSpc>
          </a:pPr>
          <a:r>
            <a:rPr lang="sk-SK" sz="1000">
              <a:latin typeface="Arial" panose="020B0604020202020204" pitchFamily="34" charset="0"/>
              <a:cs typeface="Arial" panose="020B0604020202020204" pitchFamily="34" charset="0"/>
            </a:rPr>
            <a:t>4. Uveďte ďalšie dôležité informácie o riadení projektu. </a:t>
          </a:r>
        </a:p>
        <a:p>
          <a:pPr>
            <a:lnSpc>
              <a:spcPts val="1100"/>
            </a:lnSpc>
          </a:pPr>
          <a:r>
            <a:rPr lang="sk-SK" sz="1000">
              <a:latin typeface="Arial" panose="020B0604020202020204" pitchFamily="34" charset="0"/>
              <a:cs typeface="Arial" panose="020B0604020202020204" pitchFamily="34" charset="0"/>
            </a:rPr>
            <a:t> </a:t>
          </a:r>
        </a:p>
        <a:p>
          <a:pPr>
            <a:lnSpc>
              <a:spcPts val="1100"/>
            </a:lnSpc>
          </a:pPr>
          <a:r>
            <a:rPr lang="sk-SK" sz="1000">
              <a:latin typeface="Arial" panose="020B0604020202020204" pitchFamily="34" charset="0"/>
              <a:cs typeface="Arial" panose="020B0604020202020204" pitchFamily="34" charset="0"/>
            </a:rPr>
            <a:t>Predpísaný text vymažte. Neprekročte stanovený rozsah formulára!</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522</xdr:row>
      <xdr:rowOff>0</xdr:rowOff>
    </xdr:from>
    <xdr:to>
      <xdr:col>12</xdr:col>
      <xdr:colOff>1902</xdr:colOff>
      <xdr:row>531</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Opíšte, ako projekt rieši jednotlivé cieľové skupiny, aký je aktuálny stav cieľových skupín a pod. Vymenujte prípadné ďalšie cieľové skupiny a určte, či projekt má pre cieľové skupiny priamy úžitok, t.j. či im je pomoc priamo adresovaná, alebo</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nepriamy úžitok.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Predpísaný text vymažte. Neprekročte stanovený rozsah formulára!</a:t>
          </a:r>
        </a:p>
        <a:p>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endParaRPr lang="sk-SK" sz="1000">
            <a:latin typeface="Arial" panose="020B0604020202020204" pitchFamily="34" charset="0"/>
            <a:cs typeface="Arial" panose="020B0604020202020204" pitchFamily="34" charset="0"/>
          </a:endParaRPr>
        </a:p>
        <a:p>
          <a:endParaRPr lang="sk-SK" sz="1100"/>
        </a:p>
      </xdr:txBody>
    </xdr:sp>
    <xdr:clientData/>
  </xdr:twoCellAnchor>
  <xdr:twoCellAnchor>
    <xdr:from>
      <xdr:col>3</xdr:col>
      <xdr:colOff>0</xdr:colOff>
      <xdr:row>597</xdr:row>
      <xdr:rowOff>0</xdr:rowOff>
    </xdr:from>
    <xdr:to>
      <xdr:col>10</xdr:col>
      <xdr:colOff>341219</xdr:colOff>
      <xdr:row>609</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twoCellAnchor>
    <xdr:from>
      <xdr:col>3</xdr:col>
      <xdr:colOff>0</xdr:colOff>
      <xdr:row>610</xdr:row>
      <xdr:rowOff>0</xdr:rowOff>
    </xdr:from>
    <xdr:to>
      <xdr:col>10</xdr:col>
      <xdr:colOff>341219</xdr:colOff>
      <xdr:row>621</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twoCellAnchor>
    <xdr:from>
      <xdr:col>3</xdr:col>
      <xdr:colOff>0</xdr:colOff>
      <xdr:row>623</xdr:row>
      <xdr:rowOff>0</xdr:rowOff>
    </xdr:from>
    <xdr:to>
      <xdr:col>10</xdr:col>
      <xdr:colOff>341219</xdr:colOff>
      <xdr:row>634</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twoCellAnchor>
    <xdr:from>
      <xdr:col>3</xdr:col>
      <xdr:colOff>0</xdr:colOff>
      <xdr:row>636</xdr:row>
      <xdr:rowOff>0</xdr:rowOff>
    </xdr:from>
    <xdr:to>
      <xdr:col>10</xdr:col>
      <xdr:colOff>341219</xdr:colOff>
      <xdr:row>647</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16565</xdr:colOff>
      <xdr:row>92</xdr:row>
      <xdr:rowOff>126723</xdr:rowOff>
    </xdr:from>
    <xdr:to>
      <xdr:col>11</xdr:col>
      <xdr:colOff>1159565</xdr:colOff>
      <xdr:row>160</xdr:row>
      <xdr:rowOff>139424</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1"/>
  <sheetViews>
    <sheetView showGridLines="0" view="pageBreakPreview" topLeftCell="A243" zoomScaleNormal="85" zoomScaleSheetLayoutView="100" zoomScalePageLayoutView="160" workbookViewId="0">
      <selection activeCell="H247" sqref="H247"/>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58"/>
      <c r="C1" s="608" t="s">
        <v>1093</v>
      </c>
      <c r="D1" s="608"/>
      <c r="E1" s="608"/>
      <c r="F1" s="608"/>
      <c r="G1" s="608"/>
      <c r="H1" s="608"/>
      <c r="I1" s="608"/>
      <c r="J1" s="608"/>
      <c r="K1" s="608"/>
      <c r="L1" s="608"/>
    </row>
    <row r="2" spans="1:13" s="21" customFormat="1" ht="12" customHeight="1" x14ac:dyDescent="0.2">
      <c r="A2" s="18"/>
      <c r="B2" s="19"/>
      <c r="C2" s="20" t="str">
        <f>IF($D$66="","",$D$66)</f>
        <v/>
      </c>
      <c r="D2" s="19"/>
      <c r="E2" s="19"/>
      <c r="F2" s="19"/>
      <c r="G2" s="19"/>
      <c r="H2" s="19"/>
      <c r="I2" s="19"/>
      <c r="J2" s="19"/>
      <c r="K2" s="19" t="str">
        <f>IF($E$3="","",CONCATENATE("Verzia ",$E$3))</f>
        <v>Verzia 1</v>
      </c>
      <c r="L2" s="19"/>
      <c r="M2" s="18"/>
    </row>
    <row r="3" spans="1:13" ht="25.5" customHeight="1" x14ac:dyDescent="0.2">
      <c r="B3" s="22" t="s">
        <v>1094</v>
      </c>
      <c r="C3" s="17"/>
      <c r="D3" s="17"/>
      <c r="E3" s="23">
        <v>1</v>
      </c>
      <c r="F3" s="17"/>
      <c r="G3" s="17"/>
      <c r="H3" s="17"/>
      <c r="I3" s="17"/>
      <c r="J3" s="22" t="s">
        <v>1095</v>
      </c>
      <c r="K3" s="23"/>
    </row>
    <row r="4" spans="1:13" ht="8.25" customHeight="1" x14ac:dyDescent="0.2"/>
    <row r="5" spans="1:13" ht="18" customHeight="1" x14ac:dyDescent="0.2">
      <c r="B5" s="24" t="s">
        <v>1096</v>
      </c>
      <c r="C5" s="24"/>
      <c r="D5" s="25"/>
      <c r="E5" s="25"/>
      <c r="F5" s="25"/>
      <c r="G5" s="25"/>
      <c r="H5" s="25"/>
      <c r="I5" s="25"/>
      <c r="J5" s="25"/>
      <c r="K5" s="25"/>
      <c r="L5" s="26"/>
    </row>
    <row r="6" spans="1:13" ht="18" customHeight="1" x14ac:dyDescent="0.2">
      <c r="B6" s="24" t="s">
        <v>1097</v>
      </c>
      <c r="C6" s="24"/>
      <c r="D6" s="25"/>
      <c r="E6" s="25"/>
      <c r="F6" s="25"/>
      <c r="G6" s="25"/>
      <c r="H6" s="25"/>
      <c r="I6" s="25"/>
      <c r="J6" s="25"/>
      <c r="K6" s="25"/>
      <c r="L6" s="26"/>
    </row>
    <row r="7" spans="1:13" ht="27" customHeight="1" x14ac:dyDescent="0.2">
      <c r="B7" s="618"/>
      <c r="C7" s="619"/>
      <c r="D7" s="619"/>
      <c r="E7" s="619"/>
      <c r="F7" s="619"/>
      <c r="G7" s="619"/>
      <c r="H7" s="619"/>
      <c r="I7" s="619"/>
      <c r="J7" s="619"/>
      <c r="K7" s="619"/>
      <c r="L7" s="620"/>
    </row>
    <row r="8" spans="1:13" s="27" customFormat="1" ht="3.95" customHeight="1" x14ac:dyDescent="0.2">
      <c r="B8" s="28"/>
      <c r="C8" s="29"/>
      <c r="D8" s="30"/>
      <c r="E8" s="30"/>
      <c r="F8" s="30"/>
      <c r="G8" s="30"/>
      <c r="H8" s="30"/>
      <c r="I8" s="30"/>
      <c r="J8" s="30"/>
      <c r="K8" s="30"/>
      <c r="L8" s="31"/>
    </row>
    <row r="9" spans="1:13" s="27" customFormat="1" ht="18" customHeight="1" x14ac:dyDescent="0.2">
      <c r="B9" s="32" t="s">
        <v>1099</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2" t="str">
        <f>VLOOKUP(programme_title,programmes_table,2,FALSE)</f>
        <v>LDI</v>
      </c>
      <c r="C11" s="35"/>
      <c r="D11" s="615" t="s">
        <v>799</v>
      </c>
      <c r="E11" s="616"/>
      <c r="F11" s="616"/>
      <c r="G11" s="616"/>
      <c r="H11" s="616"/>
      <c r="I11" s="616"/>
      <c r="J11" s="616"/>
      <c r="K11" s="617"/>
      <c r="L11" s="231"/>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1100</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2" t="str">
        <f>VLOOKUP(programme_outcome,outcomes_table,2,FALSE)</f>
        <v>LDI_OTC1</v>
      </c>
      <c r="C15" s="35"/>
      <c r="D15" s="615" t="s">
        <v>1527</v>
      </c>
      <c r="E15" s="616"/>
      <c r="F15" s="616"/>
      <c r="G15" s="616"/>
      <c r="H15" s="616"/>
      <c r="I15" s="616"/>
      <c r="J15" s="616"/>
      <c r="K15" s="617"/>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1101</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615" t="s">
        <v>1541</v>
      </c>
      <c r="E20" s="616"/>
      <c r="F20" s="616"/>
      <c r="G20" s="616"/>
      <c r="H20" s="616"/>
      <c r="I20" s="616"/>
      <c r="J20" s="616"/>
      <c r="K20" s="617"/>
      <c r="L20" s="36"/>
      <c r="N20" s="400"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1"/>
    </row>
    <row r="22" spans="2:14" s="27" customFormat="1" ht="3.95" customHeight="1" x14ac:dyDescent="0.2">
      <c r="B22" s="28"/>
      <c r="C22" s="29"/>
      <c r="D22" s="30"/>
      <c r="E22" s="30"/>
      <c r="F22" s="30"/>
      <c r="G22" s="30"/>
      <c r="H22" s="30"/>
      <c r="I22" s="30"/>
      <c r="J22" s="30"/>
      <c r="K22" s="30"/>
      <c r="L22" s="31"/>
      <c r="N22" s="401"/>
    </row>
    <row r="23" spans="2:14" s="27" customFormat="1" ht="55.5" customHeight="1" x14ac:dyDescent="0.2">
      <c r="B23" s="28"/>
      <c r="C23" s="35" t="s">
        <v>1102</v>
      </c>
      <c r="D23" s="622"/>
      <c r="E23" s="623"/>
      <c r="F23" s="623"/>
      <c r="G23" s="623"/>
      <c r="H23" s="623"/>
      <c r="I23" s="623"/>
      <c r="J23" s="623"/>
      <c r="K23" s="624"/>
      <c r="L23" s="36"/>
      <c r="N23" s="400" t="str">
        <f>IF(COUNTIF($D$20:$D$30,D23)&gt;1,"The same output was selected more than once. /  Rovnaký výsledok bol vybraný viac ako jedenkrát","")</f>
        <v/>
      </c>
    </row>
    <row r="24" spans="2:14" s="27" customFormat="1" ht="3.95" customHeight="1" x14ac:dyDescent="0.2">
      <c r="B24" s="37"/>
      <c r="C24" s="38"/>
      <c r="D24" s="39"/>
      <c r="E24" s="38"/>
      <c r="F24" s="38"/>
      <c r="G24" s="38"/>
      <c r="H24" s="38"/>
      <c r="I24" s="38"/>
      <c r="J24" s="38"/>
      <c r="K24" s="38"/>
      <c r="L24" s="40"/>
      <c r="N24" s="401"/>
    </row>
    <row r="25" spans="2:14" s="27" customFormat="1" ht="3.95" customHeight="1" x14ac:dyDescent="0.2">
      <c r="B25" s="28"/>
      <c r="C25" s="29"/>
      <c r="D25" s="30"/>
      <c r="E25" s="30"/>
      <c r="F25" s="30"/>
      <c r="G25" s="30"/>
      <c r="H25" s="30"/>
      <c r="I25" s="30"/>
      <c r="J25" s="30"/>
      <c r="K25" s="30"/>
      <c r="L25" s="31"/>
      <c r="N25" s="401"/>
    </row>
    <row r="26" spans="2:14" s="27" customFormat="1" ht="55.5" customHeight="1" x14ac:dyDescent="0.2">
      <c r="B26" s="28"/>
      <c r="C26" s="35" t="s">
        <v>1102</v>
      </c>
      <c r="D26" s="622"/>
      <c r="E26" s="623"/>
      <c r="F26" s="623"/>
      <c r="G26" s="623"/>
      <c r="H26" s="623"/>
      <c r="I26" s="623"/>
      <c r="J26" s="623"/>
      <c r="K26" s="624"/>
      <c r="L26" s="36"/>
      <c r="N26" s="400" t="str">
        <f>IF(COUNTIF($D$20:$D$30,D26)&gt;1,"The same output was selected more than once. /  Rovnaký výsledok bol vybraný viac ako jedenkrát","")</f>
        <v/>
      </c>
    </row>
    <row r="27" spans="2:14" s="27" customFormat="1" ht="3.95" customHeight="1" x14ac:dyDescent="0.2">
      <c r="B27" s="37"/>
      <c r="C27" s="38"/>
      <c r="D27" s="39"/>
      <c r="E27" s="38"/>
      <c r="F27" s="38"/>
      <c r="G27" s="38"/>
      <c r="H27" s="38"/>
      <c r="I27" s="38"/>
      <c r="J27" s="38"/>
      <c r="K27" s="38"/>
      <c r="L27" s="40"/>
      <c r="N27" s="401"/>
    </row>
    <row r="28" spans="2:14" s="27" customFormat="1" ht="3.95" customHeight="1" x14ac:dyDescent="0.2">
      <c r="B28" s="28"/>
      <c r="C28" s="29"/>
      <c r="D28" s="30"/>
      <c r="E28" s="30"/>
      <c r="F28" s="30"/>
      <c r="G28" s="30"/>
      <c r="H28" s="30"/>
      <c r="I28" s="30"/>
      <c r="J28" s="30"/>
      <c r="K28" s="30"/>
      <c r="L28" s="31"/>
      <c r="N28" s="401"/>
    </row>
    <row r="29" spans="2:14" s="27" customFormat="1" ht="55.5" customHeight="1" x14ac:dyDescent="0.2">
      <c r="B29" s="28"/>
      <c r="C29" s="35" t="s">
        <v>1102</v>
      </c>
      <c r="D29" s="622"/>
      <c r="E29" s="623"/>
      <c r="F29" s="623"/>
      <c r="G29" s="623"/>
      <c r="H29" s="623"/>
      <c r="I29" s="623"/>
      <c r="J29" s="623"/>
      <c r="K29" s="624"/>
      <c r="L29" s="36"/>
      <c r="N29" s="400" t="str">
        <f>IF(COUNTIF($D$20:$D$30,D29)&gt;1,"The same output was selected more than once. /  Rovnaký výsledok bol vybraný viac ako jedenkrát","")</f>
        <v/>
      </c>
    </row>
    <row r="30" spans="2:14" s="27" customFormat="1" ht="3.95"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1098</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5" t="s">
        <v>1104</v>
      </c>
      <c r="D35" s="626"/>
      <c r="E35" s="627"/>
      <c r="F35" s="481"/>
      <c r="G35" s="466"/>
      <c r="H35" s="466"/>
      <c r="I35" s="466"/>
      <c r="J35" s="466"/>
      <c r="K35" s="467"/>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5" t="s">
        <v>1103</v>
      </c>
      <c r="D37" s="626"/>
      <c r="E37" s="627"/>
      <c r="F37" s="481"/>
      <c r="G37" s="466"/>
      <c r="H37" s="466"/>
      <c r="I37" s="466"/>
      <c r="J37" s="466"/>
      <c r="K37" s="467"/>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5" t="s">
        <v>1105</v>
      </c>
      <c r="D39" s="626"/>
      <c r="E39" s="627"/>
      <c r="F39" s="481"/>
      <c r="G39" s="466"/>
      <c r="H39" s="466"/>
      <c r="I39" s="466"/>
      <c r="J39" s="466"/>
      <c r="K39" s="467"/>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5" t="s">
        <v>1105</v>
      </c>
      <c r="D41" s="626"/>
      <c r="E41" s="627"/>
      <c r="F41" s="481"/>
      <c r="G41" s="466"/>
      <c r="H41" s="466"/>
      <c r="I41" s="466"/>
      <c r="J41" s="466"/>
      <c r="K41" s="467"/>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5" t="s">
        <v>1105</v>
      </c>
      <c r="D43" s="626"/>
      <c r="E43" s="627"/>
      <c r="F43" s="481"/>
      <c r="G43" s="466"/>
      <c r="H43" s="466"/>
      <c r="I43" s="466"/>
      <c r="J43" s="466"/>
      <c r="K43" s="467"/>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5" t="s">
        <v>1106</v>
      </c>
      <c r="D47" s="637"/>
      <c r="E47" s="638"/>
      <c r="F47" s="481"/>
      <c r="G47" s="466"/>
      <c r="H47" s="466"/>
      <c r="I47" s="466"/>
      <c r="J47" s="466"/>
      <c r="K47" s="467"/>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5" t="s">
        <v>1103</v>
      </c>
      <c r="D49" s="637"/>
      <c r="E49" s="637"/>
      <c r="F49" s="481"/>
      <c r="G49" s="466"/>
      <c r="H49" s="466"/>
      <c r="I49" s="466"/>
      <c r="J49" s="466"/>
      <c r="K49" s="467"/>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28"/>
      <c r="D52" s="629"/>
      <c r="E52" s="629"/>
      <c r="F52" s="629"/>
      <c r="G52" s="629"/>
      <c r="H52" s="629"/>
      <c r="I52" s="629"/>
      <c r="J52" s="629"/>
      <c r="K52" s="630"/>
      <c r="L52" s="46"/>
    </row>
    <row r="53" spans="2:12" s="27" customFormat="1" ht="3.95" customHeight="1" x14ac:dyDescent="0.2">
      <c r="B53" s="28"/>
      <c r="C53" s="631"/>
      <c r="D53" s="632"/>
      <c r="E53" s="632"/>
      <c r="F53" s="632"/>
      <c r="G53" s="632"/>
      <c r="H53" s="632"/>
      <c r="I53" s="632"/>
      <c r="J53" s="632"/>
      <c r="K53" s="633"/>
      <c r="L53" s="31"/>
    </row>
    <row r="54" spans="2:12" ht="18" customHeight="1" x14ac:dyDescent="0.2">
      <c r="B54" s="1"/>
      <c r="C54" s="631"/>
      <c r="D54" s="632"/>
      <c r="E54" s="632"/>
      <c r="F54" s="632"/>
      <c r="G54" s="632"/>
      <c r="H54" s="632"/>
      <c r="I54" s="632"/>
      <c r="J54" s="632"/>
      <c r="K54" s="633"/>
      <c r="L54" s="46"/>
    </row>
    <row r="55" spans="2:12" s="27" customFormat="1" ht="3.95" customHeight="1" x14ac:dyDescent="0.2">
      <c r="B55" s="28"/>
      <c r="C55" s="631"/>
      <c r="D55" s="632"/>
      <c r="E55" s="632"/>
      <c r="F55" s="632"/>
      <c r="G55" s="632"/>
      <c r="H55" s="632"/>
      <c r="I55" s="632"/>
      <c r="J55" s="632"/>
      <c r="K55" s="633"/>
      <c r="L55" s="31"/>
    </row>
    <row r="56" spans="2:12" ht="18" customHeight="1" x14ac:dyDescent="0.2">
      <c r="B56" s="1"/>
      <c r="C56" s="631"/>
      <c r="D56" s="632"/>
      <c r="E56" s="632"/>
      <c r="F56" s="632"/>
      <c r="G56" s="632"/>
      <c r="H56" s="632"/>
      <c r="I56" s="632"/>
      <c r="J56" s="632"/>
      <c r="K56" s="633"/>
      <c r="L56" s="46"/>
    </row>
    <row r="57" spans="2:12" s="27" customFormat="1" ht="3.95" customHeight="1" x14ac:dyDescent="0.2">
      <c r="B57" s="28"/>
      <c r="C57" s="631"/>
      <c r="D57" s="632"/>
      <c r="E57" s="632"/>
      <c r="F57" s="632"/>
      <c r="G57" s="632"/>
      <c r="H57" s="632"/>
      <c r="I57" s="632"/>
      <c r="J57" s="632"/>
      <c r="K57" s="633"/>
      <c r="L57" s="31"/>
    </row>
    <row r="58" spans="2:12" ht="18" customHeight="1" x14ac:dyDescent="0.2">
      <c r="B58" s="1"/>
      <c r="C58" s="631"/>
      <c r="D58" s="632"/>
      <c r="E58" s="632"/>
      <c r="F58" s="632"/>
      <c r="G58" s="632"/>
      <c r="H58" s="632"/>
      <c r="I58" s="632"/>
      <c r="J58" s="632"/>
      <c r="K58" s="633"/>
      <c r="L58" s="46"/>
    </row>
    <row r="59" spans="2:12" s="27" customFormat="1" ht="3.95" customHeight="1" x14ac:dyDescent="0.2">
      <c r="B59" s="28"/>
      <c r="C59" s="631"/>
      <c r="D59" s="632"/>
      <c r="E59" s="632"/>
      <c r="F59" s="632"/>
      <c r="G59" s="632"/>
      <c r="H59" s="632"/>
      <c r="I59" s="632"/>
      <c r="J59" s="632"/>
      <c r="K59" s="633"/>
      <c r="L59" s="31"/>
    </row>
    <row r="60" spans="2:12" ht="18" customHeight="1" x14ac:dyDescent="0.2">
      <c r="B60" s="1"/>
      <c r="C60" s="634"/>
      <c r="D60" s="635"/>
      <c r="E60" s="635"/>
      <c r="F60" s="635"/>
      <c r="G60" s="635"/>
      <c r="H60" s="635"/>
      <c r="I60" s="635"/>
      <c r="J60" s="635"/>
      <c r="K60" s="636"/>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1107</v>
      </c>
    </row>
    <row r="64" spans="2:12" ht="18" customHeight="1" x14ac:dyDescent="0.2">
      <c r="B64" s="24" t="s">
        <v>1108</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70" t="s">
        <v>1109</v>
      </c>
      <c r="C66" s="621"/>
      <c r="D66" s="609"/>
      <c r="E66" s="610"/>
      <c r="F66" s="610"/>
      <c r="G66" s="610"/>
      <c r="H66" s="610"/>
      <c r="I66" s="610"/>
      <c r="J66" s="610"/>
      <c r="K66" s="611"/>
      <c r="L66" s="46"/>
    </row>
    <row r="67" spans="1:12" ht="21" customHeight="1" x14ac:dyDescent="0.2">
      <c r="B67" s="570"/>
      <c r="C67" s="621"/>
      <c r="D67" s="612"/>
      <c r="E67" s="613"/>
      <c r="F67" s="613"/>
      <c r="G67" s="613"/>
      <c r="H67" s="613"/>
      <c r="I67" s="613"/>
      <c r="J67" s="613"/>
      <c r="K67" s="614"/>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36</v>
      </c>
      <c r="B70" s="1"/>
      <c r="C70" s="4"/>
      <c r="D70" s="2"/>
      <c r="E70" s="3"/>
      <c r="F70" s="3"/>
      <c r="G70" s="3"/>
      <c r="H70" s="3"/>
      <c r="I70" s="3"/>
      <c r="J70" s="3"/>
      <c r="K70" s="3"/>
      <c r="L70" s="58"/>
    </row>
    <row r="71" spans="1:12" ht="27" customHeight="1" x14ac:dyDescent="0.2">
      <c r="B71" s="570" t="s">
        <v>1110</v>
      </c>
      <c r="C71" s="571"/>
      <c r="D71" s="571"/>
      <c r="E71" s="571"/>
      <c r="F71" s="621"/>
      <c r="G71" s="650"/>
      <c r="H71" s="651"/>
      <c r="I71" s="651"/>
      <c r="J71" s="651"/>
      <c r="K71" s="652"/>
      <c r="L71" s="46"/>
    </row>
    <row r="72" spans="1:12" ht="3.95" customHeight="1" x14ac:dyDescent="0.2">
      <c r="B72" s="1"/>
      <c r="C72" s="4"/>
      <c r="D72" s="2"/>
      <c r="E72" s="3"/>
      <c r="F72" s="3"/>
      <c r="G72" s="3"/>
      <c r="H72" s="3"/>
      <c r="I72" s="3"/>
      <c r="J72" s="3"/>
      <c r="K72" s="3"/>
      <c r="L72" s="58"/>
    </row>
    <row r="73" spans="1:12" ht="27" customHeight="1" x14ac:dyDescent="0.2">
      <c r="B73" s="570" t="s">
        <v>1111</v>
      </c>
      <c r="C73" s="571"/>
      <c r="D73" s="571"/>
      <c r="E73" s="571"/>
      <c r="F73" s="571"/>
      <c r="G73" s="650"/>
      <c r="H73" s="651"/>
      <c r="I73" s="651"/>
      <c r="J73" s="651"/>
      <c r="K73" s="652"/>
      <c r="L73" s="46"/>
    </row>
    <row r="74" spans="1:12" ht="3.95" customHeight="1" x14ac:dyDescent="0.2">
      <c r="B74" s="1"/>
      <c r="C74" s="4"/>
      <c r="D74" s="2"/>
      <c r="E74" s="3"/>
      <c r="F74" s="3"/>
      <c r="G74" s="3"/>
      <c r="H74" s="3"/>
      <c r="I74" s="3"/>
      <c r="J74" s="3"/>
      <c r="K74" s="3"/>
      <c r="L74" s="58"/>
    </row>
    <row r="75" spans="1:12" ht="27" customHeight="1" x14ac:dyDescent="0.2">
      <c r="B75" s="570" t="s">
        <v>1112</v>
      </c>
      <c r="C75" s="571"/>
      <c r="D75" s="571"/>
      <c r="E75" s="571"/>
      <c r="F75" s="571"/>
      <c r="G75" s="650"/>
      <c r="H75" s="651"/>
      <c r="I75" s="651"/>
      <c r="J75" s="651"/>
      <c r="K75" s="652"/>
      <c r="L75" s="46"/>
    </row>
    <row r="76" spans="1:12" ht="3.95" customHeight="1" x14ac:dyDescent="0.2">
      <c r="B76" s="1"/>
      <c r="C76" s="4"/>
      <c r="D76" s="2"/>
      <c r="E76" s="3"/>
      <c r="F76" s="3"/>
      <c r="G76" s="3"/>
      <c r="H76" s="3"/>
      <c r="I76" s="3"/>
      <c r="J76" s="3"/>
      <c r="K76" s="3"/>
      <c r="L76" s="566"/>
    </row>
    <row r="77" spans="1:12" ht="3.75" customHeight="1" x14ac:dyDescent="0.2">
      <c r="B77" s="1"/>
      <c r="C77" s="4"/>
      <c r="D77" s="2"/>
      <c r="E77" s="3"/>
      <c r="F77" s="3"/>
      <c r="G77" s="3"/>
      <c r="H77" s="3"/>
      <c r="I77" s="3"/>
      <c r="J77" s="3"/>
      <c r="K77" s="3"/>
      <c r="L77" s="566"/>
    </row>
    <row r="78" spans="1:12" ht="31.5" customHeight="1" x14ac:dyDescent="0.2">
      <c r="B78" s="570" t="s">
        <v>1113</v>
      </c>
      <c r="C78" s="571"/>
      <c r="D78" s="571"/>
      <c r="E78" s="571"/>
      <c r="F78" s="571"/>
      <c r="G78" s="653"/>
      <c r="H78" s="653"/>
      <c r="I78" s="653"/>
      <c r="J78" s="59" t="s">
        <v>24</v>
      </c>
      <c r="K78" s="60"/>
      <c r="L78" s="46"/>
    </row>
    <row r="79" spans="1:12" ht="3.95" customHeight="1" x14ac:dyDescent="0.2">
      <c r="B79" s="1"/>
      <c r="C79" s="4"/>
      <c r="D79" s="2"/>
      <c r="E79" s="3"/>
      <c r="F79" s="3"/>
      <c r="G79" s="3"/>
      <c r="H79" s="3"/>
      <c r="I79" s="3"/>
      <c r="J79" s="3"/>
      <c r="K79" s="3"/>
      <c r="L79" s="58"/>
    </row>
    <row r="80" spans="1:12" ht="27" customHeight="1" x14ac:dyDescent="0.2">
      <c r="B80" s="570" t="s">
        <v>1114</v>
      </c>
      <c r="C80" s="571"/>
      <c r="D80" s="571"/>
      <c r="E80" s="571"/>
      <c r="F80" s="571"/>
      <c r="G80" s="571"/>
      <c r="H80" s="621"/>
      <c r="I80" s="657"/>
      <c r="J80" s="658"/>
      <c r="K80" s="658"/>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1115</v>
      </c>
      <c r="D83" s="61"/>
      <c r="E83" s="3"/>
      <c r="F83" s="3"/>
      <c r="G83" s="3"/>
      <c r="H83" s="3"/>
      <c r="I83" s="3"/>
      <c r="J83" s="3"/>
      <c r="K83" s="3"/>
      <c r="L83" s="58"/>
    </row>
    <row r="84" spans="2:12" ht="18" customHeight="1" x14ac:dyDescent="0.2">
      <c r="B84" s="1"/>
      <c r="C84" s="62" t="s">
        <v>1116</v>
      </c>
      <c r="D84" s="644"/>
      <c r="E84" s="466"/>
      <c r="F84" s="466"/>
      <c r="G84" s="466"/>
      <c r="H84" s="466"/>
      <c r="I84" s="466"/>
      <c r="J84" s="466"/>
      <c r="K84" s="467"/>
      <c r="L84" s="46"/>
    </row>
    <row r="85" spans="2:12" ht="3.95" customHeight="1" x14ac:dyDescent="0.2">
      <c r="B85" s="570" t="s">
        <v>1117</v>
      </c>
      <c r="C85" s="571"/>
      <c r="D85" s="4"/>
      <c r="E85" s="4"/>
      <c r="F85" s="4"/>
      <c r="G85" s="4"/>
      <c r="H85" s="4"/>
      <c r="I85" s="4"/>
      <c r="J85" s="4"/>
      <c r="K85" s="4"/>
      <c r="L85" s="6"/>
    </row>
    <row r="86" spans="2:12" ht="18" customHeight="1" x14ac:dyDescent="0.2">
      <c r="B86" s="570"/>
      <c r="C86" s="571"/>
      <c r="D86" s="267"/>
      <c r="E86" s="263"/>
      <c r="F86" s="1"/>
      <c r="G86" s="4"/>
      <c r="H86" s="4"/>
      <c r="I86" s="4"/>
      <c r="J86" s="4"/>
      <c r="K86" s="4"/>
      <c r="L86" s="46"/>
    </row>
    <row r="87" spans="2:12" ht="3.95" customHeight="1" x14ac:dyDescent="0.2">
      <c r="B87" s="570"/>
      <c r="C87" s="571"/>
      <c r="D87" s="4"/>
      <c r="E87" s="4"/>
      <c r="F87" s="4"/>
      <c r="G87" s="4"/>
      <c r="H87" s="4"/>
      <c r="I87" s="4"/>
      <c r="J87" s="4"/>
      <c r="K87" s="4"/>
      <c r="L87" s="6"/>
    </row>
    <row r="88" spans="2:12" ht="18" customHeight="1" x14ac:dyDescent="0.2">
      <c r="B88" s="1"/>
      <c r="C88" s="62" t="s">
        <v>1118</v>
      </c>
      <c r="D88" s="642"/>
      <c r="E88" s="643"/>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1119</v>
      </c>
      <c r="D90" s="644"/>
      <c r="E90" s="466"/>
      <c r="F90" s="466"/>
      <c r="G90" s="466"/>
      <c r="H90" s="466"/>
      <c r="I90" s="466"/>
      <c r="J90" s="466"/>
      <c r="K90" s="467"/>
      <c r="L90" s="46"/>
    </row>
    <row r="91" spans="2:12" ht="3.95" customHeight="1" x14ac:dyDescent="0.2">
      <c r="B91" s="1"/>
      <c r="C91" s="65"/>
      <c r="D91" s="61"/>
      <c r="E91" s="5"/>
      <c r="F91" s="5"/>
      <c r="G91" s="5"/>
      <c r="H91" s="5"/>
      <c r="I91" s="5"/>
      <c r="J91" s="5"/>
      <c r="K91" s="5"/>
      <c r="L91" s="58"/>
    </row>
    <row r="92" spans="2:12" ht="18" customHeight="1" x14ac:dyDescent="0.2">
      <c r="B92" s="1"/>
      <c r="C92" s="62" t="s">
        <v>1120</v>
      </c>
      <c r="D92" s="654"/>
      <c r="E92" s="655"/>
      <c r="F92" s="655"/>
      <c r="G92" s="655"/>
      <c r="H92" s="655"/>
      <c r="I92" s="655"/>
      <c r="J92" s="655"/>
      <c r="K92" s="656"/>
      <c r="L92" s="46"/>
    </row>
    <row r="93" spans="2:12" ht="3.95" customHeight="1" x14ac:dyDescent="0.2">
      <c r="B93" s="1"/>
      <c r="C93" s="4"/>
      <c r="D93" s="4"/>
      <c r="E93" s="4"/>
      <c r="F93" s="4"/>
      <c r="G93" s="4"/>
      <c r="H93" s="4"/>
      <c r="I93" s="4"/>
      <c r="J93" s="4"/>
      <c r="K93" s="4"/>
      <c r="L93" s="6"/>
    </row>
    <row r="94" spans="2:12" ht="18" customHeight="1" x14ac:dyDescent="0.2">
      <c r="B94" s="1"/>
      <c r="C94" s="8" t="s">
        <v>1123</v>
      </c>
      <c r="D94" s="4"/>
      <c r="E94" s="4"/>
      <c r="F94" s="4"/>
      <c r="G94" s="4"/>
      <c r="H94" s="4"/>
      <c r="I94" s="4"/>
      <c r="J94" s="4"/>
      <c r="K94" s="4"/>
      <c r="L94" s="6"/>
    </row>
    <row r="95" spans="2:12" ht="18" customHeight="1" x14ac:dyDescent="0.2">
      <c r="B95" s="1"/>
      <c r="C95" s="4"/>
      <c r="D95" s="7" t="s">
        <v>1126</v>
      </c>
      <c r="E95" s="639" t="s">
        <v>1121</v>
      </c>
      <c r="F95" s="639"/>
      <c r="G95" s="639"/>
      <c r="H95" s="639" t="s">
        <v>1122</v>
      </c>
      <c r="I95" s="639"/>
      <c r="J95" s="639"/>
      <c r="K95" s="639"/>
      <c r="L95" s="46"/>
    </row>
    <row r="96" spans="2:12" ht="18" customHeight="1" x14ac:dyDescent="0.2">
      <c r="B96" s="1"/>
      <c r="C96" s="62" t="s">
        <v>1124</v>
      </c>
      <c r="D96" s="269"/>
      <c r="E96" s="481"/>
      <c r="F96" s="466"/>
      <c r="G96" s="466"/>
      <c r="H96" s="481"/>
      <c r="I96" s="466"/>
      <c r="J96" s="466"/>
      <c r="K96" s="467"/>
      <c r="L96" s="46"/>
    </row>
    <row r="97" spans="2:12" ht="3.95" customHeight="1" x14ac:dyDescent="0.2">
      <c r="B97" s="1"/>
      <c r="C97" s="4"/>
      <c r="D97" s="4"/>
      <c r="E97" s="4"/>
      <c r="F97" s="4"/>
      <c r="G97" s="4"/>
      <c r="H97" s="4"/>
      <c r="I97" s="4"/>
      <c r="J97" s="4"/>
      <c r="K97" s="4"/>
      <c r="L97" s="6"/>
    </row>
    <row r="98" spans="2:12" ht="18" customHeight="1" x14ac:dyDescent="0.2">
      <c r="B98" s="1"/>
      <c r="C98" s="62" t="s">
        <v>1125</v>
      </c>
      <c r="D98" s="568"/>
      <c r="E98" s="569"/>
      <c r="F98" s="569"/>
      <c r="G98" s="569"/>
      <c r="H98" s="569"/>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79</v>
      </c>
      <c r="D100" s="568"/>
      <c r="E100" s="569"/>
      <c r="F100" s="569"/>
      <c r="G100" s="569"/>
      <c r="H100" s="569"/>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1127</v>
      </c>
      <c r="E102" s="5"/>
      <c r="F102" s="7" t="s">
        <v>1128</v>
      </c>
      <c r="H102" s="5"/>
      <c r="I102" s="5"/>
      <c r="J102" s="68"/>
      <c r="K102" s="68"/>
      <c r="L102" s="46"/>
    </row>
    <row r="103" spans="2:12" ht="18" customHeight="1" x14ac:dyDescent="0.2">
      <c r="B103" s="1"/>
      <c r="C103" s="62" t="s">
        <v>1129</v>
      </c>
      <c r="D103" s="268" t="s">
        <v>77</v>
      </c>
      <c r="E103" s="640"/>
      <c r="F103" s="641"/>
      <c r="G103" s="641"/>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1130</v>
      </c>
      <c r="D105" s="268" t="s">
        <v>77</v>
      </c>
      <c r="E105" s="640"/>
      <c r="F105" s="641"/>
      <c r="G105" s="641"/>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1131</v>
      </c>
      <c r="D108" s="4"/>
      <c r="E108" s="4"/>
      <c r="F108" s="4"/>
      <c r="G108" s="4"/>
      <c r="H108" s="4"/>
      <c r="I108" s="4"/>
      <c r="J108" s="4"/>
      <c r="K108" s="4"/>
      <c r="L108" s="6"/>
    </row>
    <row r="109" spans="2:12" ht="18" customHeight="1" x14ac:dyDescent="0.2">
      <c r="B109" s="1"/>
      <c r="C109" s="62" t="s">
        <v>1132</v>
      </c>
      <c r="D109" s="644"/>
      <c r="E109" s="466"/>
      <c r="F109" s="466"/>
      <c r="G109" s="466"/>
      <c r="H109" s="466"/>
      <c r="I109" s="466"/>
      <c r="J109" s="466"/>
      <c r="K109" s="467"/>
      <c r="L109" s="46"/>
    </row>
    <row r="110" spans="2:12" ht="3.95" customHeight="1" x14ac:dyDescent="0.2">
      <c r="B110" s="1"/>
      <c r="C110" s="4"/>
      <c r="D110" s="4"/>
      <c r="E110" s="4"/>
      <c r="F110" s="4"/>
      <c r="G110" s="4"/>
      <c r="H110" s="4"/>
      <c r="I110" s="4"/>
      <c r="J110" s="4"/>
      <c r="K110" s="4"/>
      <c r="L110" s="6"/>
    </row>
    <row r="111" spans="2:12" ht="18" customHeight="1" x14ac:dyDescent="0.2">
      <c r="B111" s="1"/>
      <c r="C111" s="62" t="s">
        <v>1116</v>
      </c>
      <c r="D111" s="644"/>
      <c r="E111" s="466"/>
      <c r="F111" s="466"/>
      <c r="G111" s="466"/>
      <c r="H111" s="466"/>
      <c r="I111" s="466"/>
      <c r="J111" s="466"/>
      <c r="K111" s="467"/>
      <c r="L111" s="46"/>
    </row>
    <row r="112" spans="2:12" ht="3.95" customHeight="1" x14ac:dyDescent="0.2">
      <c r="B112" s="570" t="s">
        <v>1117</v>
      </c>
      <c r="C112" s="571"/>
      <c r="D112" s="4"/>
      <c r="E112" s="4"/>
      <c r="F112" s="4"/>
      <c r="G112" s="4"/>
      <c r="H112" s="4"/>
      <c r="I112" s="4"/>
      <c r="J112" s="4"/>
      <c r="K112" s="4"/>
      <c r="L112" s="6"/>
    </row>
    <row r="113" spans="2:12" ht="18" customHeight="1" x14ac:dyDescent="0.2">
      <c r="B113" s="570"/>
      <c r="C113" s="571"/>
      <c r="D113" s="267"/>
      <c r="E113" s="263"/>
      <c r="F113" s="1"/>
      <c r="G113" s="4"/>
      <c r="H113" s="4"/>
      <c r="I113" s="4"/>
      <c r="J113" s="4"/>
      <c r="K113" s="4"/>
      <c r="L113" s="46"/>
    </row>
    <row r="114" spans="2:12" ht="3.95" customHeight="1" x14ac:dyDescent="0.2">
      <c r="B114" s="570"/>
      <c r="C114" s="571"/>
      <c r="D114" s="4"/>
      <c r="E114" s="4"/>
      <c r="F114" s="4"/>
      <c r="G114" s="4"/>
      <c r="H114" s="4"/>
      <c r="I114" s="4"/>
      <c r="J114" s="4"/>
      <c r="K114" s="4"/>
      <c r="L114" s="6"/>
    </row>
    <row r="115" spans="2:12" ht="18" customHeight="1" x14ac:dyDescent="0.2">
      <c r="B115" s="1"/>
      <c r="C115" s="62" t="s">
        <v>1118</v>
      </c>
      <c r="D115" s="642"/>
      <c r="E115" s="643"/>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1119</v>
      </c>
      <c r="D117" s="644"/>
      <c r="E117" s="466"/>
      <c r="F117" s="466"/>
      <c r="G117" s="466"/>
      <c r="H117" s="466"/>
      <c r="I117" s="466"/>
      <c r="J117" s="466"/>
      <c r="K117" s="467"/>
      <c r="L117" s="46"/>
    </row>
    <row r="118" spans="2:12" s="4" customFormat="1" ht="3.75" customHeight="1" x14ac:dyDescent="0.2">
      <c r="B118" s="1"/>
      <c r="D118" s="64"/>
      <c r="L118" s="6"/>
    </row>
    <row r="119" spans="2:12" ht="18" customHeight="1" x14ac:dyDescent="0.2">
      <c r="B119" s="69" t="s">
        <v>1133</v>
      </c>
      <c r="C119" s="70"/>
      <c r="D119" s="70"/>
      <c r="E119" s="70"/>
      <c r="F119" s="70"/>
      <c r="G119" s="70"/>
      <c r="H119" s="70"/>
      <c r="I119" s="70"/>
      <c r="J119" s="70"/>
      <c r="K119" s="70"/>
      <c r="L119" s="71"/>
    </row>
    <row r="120" spans="2:12" ht="18" customHeight="1" x14ac:dyDescent="0.2">
      <c r="B120" s="130"/>
      <c r="C120" s="131"/>
      <c r="D120" s="131"/>
      <c r="E120" s="131"/>
      <c r="F120" s="131"/>
      <c r="G120" s="131"/>
      <c r="H120" s="131"/>
      <c r="I120" s="131"/>
      <c r="J120" s="131"/>
      <c r="K120" s="131"/>
      <c r="L120" s="179"/>
    </row>
    <row r="121" spans="2:12" ht="18" customHeight="1" x14ac:dyDescent="0.2">
      <c r="B121" s="130"/>
      <c r="C121" s="131"/>
      <c r="D121" s="131"/>
      <c r="E121" s="131"/>
      <c r="F121" s="131"/>
      <c r="G121" s="131"/>
      <c r="H121" s="131"/>
      <c r="I121" s="131"/>
      <c r="J121" s="131"/>
      <c r="K121" s="131"/>
      <c r="L121" s="179"/>
    </row>
    <row r="122" spans="2:12" ht="18" customHeight="1" x14ac:dyDescent="0.2">
      <c r="B122" s="130"/>
      <c r="C122" s="131"/>
      <c r="D122" s="131"/>
      <c r="E122" s="131"/>
      <c r="F122" s="131"/>
      <c r="G122" s="131"/>
      <c r="H122" s="131"/>
      <c r="I122" s="131"/>
      <c r="J122" s="131"/>
      <c r="K122" s="131"/>
      <c r="L122" s="179"/>
    </row>
    <row r="123" spans="2:12" ht="18" customHeight="1" x14ac:dyDescent="0.2">
      <c r="B123" s="130"/>
      <c r="C123" s="131"/>
      <c r="D123" s="131"/>
      <c r="E123" s="131"/>
      <c r="F123" s="131"/>
      <c r="G123" s="131"/>
      <c r="H123" s="131"/>
      <c r="I123" s="131"/>
      <c r="J123" s="131"/>
      <c r="K123" s="131"/>
      <c r="L123" s="179"/>
    </row>
    <row r="124" spans="2:12" ht="18" customHeight="1" x14ac:dyDescent="0.2">
      <c r="B124" s="130"/>
      <c r="C124" s="131"/>
      <c r="D124" s="131"/>
      <c r="E124" s="131"/>
      <c r="F124" s="131"/>
      <c r="G124" s="131"/>
      <c r="H124" s="131"/>
      <c r="I124" s="131"/>
      <c r="J124" s="131"/>
      <c r="K124" s="131"/>
      <c r="L124" s="179"/>
    </row>
    <row r="125" spans="2:12" ht="18" customHeight="1" x14ac:dyDescent="0.2">
      <c r="B125" s="130"/>
      <c r="C125" s="131"/>
      <c r="D125" s="131"/>
      <c r="E125" s="131"/>
      <c r="F125" s="131"/>
      <c r="G125" s="131"/>
      <c r="H125" s="131"/>
      <c r="I125" s="131"/>
      <c r="J125" s="131"/>
      <c r="K125" s="131"/>
      <c r="L125" s="179"/>
    </row>
    <row r="126" spans="2:12" ht="18" customHeight="1" x14ac:dyDescent="0.2">
      <c r="B126" s="130"/>
      <c r="C126" s="131"/>
      <c r="D126" s="131"/>
      <c r="E126" s="131"/>
      <c r="F126" s="131"/>
      <c r="G126" s="131"/>
      <c r="H126" s="131"/>
      <c r="I126" s="131"/>
      <c r="J126" s="131"/>
      <c r="K126" s="131"/>
      <c r="L126" s="179"/>
    </row>
    <row r="127" spans="2:12" ht="18" customHeight="1" x14ac:dyDescent="0.2">
      <c r="B127" s="130"/>
      <c r="C127" s="131"/>
      <c r="D127" s="131"/>
      <c r="E127" s="131"/>
      <c r="F127" s="131"/>
      <c r="G127" s="131"/>
      <c r="H127" s="131"/>
      <c r="I127" s="131"/>
      <c r="J127" s="131"/>
      <c r="K127" s="131"/>
      <c r="L127" s="179"/>
    </row>
    <row r="128" spans="2:12" ht="18" customHeight="1" x14ac:dyDescent="0.2">
      <c r="B128" s="130"/>
      <c r="C128" s="131"/>
      <c r="D128" s="131"/>
      <c r="E128" s="131"/>
      <c r="F128" s="131"/>
      <c r="G128" s="131"/>
      <c r="H128" s="131"/>
      <c r="I128" s="131"/>
      <c r="J128" s="131"/>
      <c r="K128" s="131"/>
      <c r="L128" s="179"/>
    </row>
    <row r="129" spans="2:12" ht="18" customHeight="1" x14ac:dyDescent="0.2">
      <c r="B129" s="130"/>
      <c r="C129" s="131"/>
      <c r="D129" s="131"/>
      <c r="E129" s="131"/>
      <c r="F129" s="131"/>
      <c r="G129" s="131"/>
      <c r="H129" s="131"/>
      <c r="I129" s="131"/>
      <c r="J129" s="131"/>
      <c r="K129" s="131"/>
      <c r="L129" s="179"/>
    </row>
    <row r="130" spans="2:12" ht="18" customHeight="1" x14ac:dyDescent="0.2">
      <c r="B130" s="130"/>
      <c r="C130" s="131"/>
      <c r="D130" s="131"/>
      <c r="E130" s="131"/>
      <c r="F130" s="131"/>
      <c r="G130" s="131"/>
      <c r="H130" s="131"/>
      <c r="I130" s="131"/>
      <c r="J130" s="131"/>
      <c r="K130" s="131"/>
      <c r="L130" s="179"/>
    </row>
    <row r="131" spans="2:12" ht="18" customHeight="1" x14ac:dyDescent="0.2">
      <c r="B131" s="130"/>
      <c r="C131" s="131"/>
      <c r="D131" s="131"/>
      <c r="E131" s="131"/>
      <c r="F131" s="131"/>
      <c r="G131" s="131"/>
      <c r="H131" s="131"/>
      <c r="I131" s="131"/>
      <c r="J131" s="131"/>
      <c r="K131" s="131"/>
      <c r="L131" s="179"/>
    </row>
    <row r="132" spans="2:12" ht="18" customHeight="1" x14ac:dyDescent="0.2">
      <c r="B132" s="130"/>
      <c r="C132" s="131"/>
      <c r="D132" s="131"/>
      <c r="E132" s="131"/>
      <c r="F132" s="131"/>
      <c r="G132" s="131"/>
      <c r="H132" s="131"/>
      <c r="I132" s="131"/>
      <c r="J132" s="131"/>
      <c r="K132" s="131"/>
      <c r="L132" s="179"/>
    </row>
    <row r="133" spans="2:12" ht="18" customHeight="1" x14ac:dyDescent="0.2">
      <c r="B133" s="130"/>
      <c r="C133" s="131"/>
      <c r="D133" s="131"/>
      <c r="E133" s="131"/>
      <c r="F133" s="131"/>
      <c r="G133" s="131"/>
      <c r="H133" s="131"/>
      <c r="I133" s="131"/>
      <c r="J133" s="131"/>
      <c r="K133" s="131"/>
      <c r="L133" s="179"/>
    </row>
    <row r="134" spans="2:12" ht="18" customHeight="1" x14ac:dyDescent="0.2">
      <c r="B134" s="130"/>
      <c r="C134" s="131"/>
      <c r="D134" s="131"/>
      <c r="E134" s="131"/>
      <c r="F134" s="131"/>
      <c r="G134" s="131"/>
      <c r="H134" s="131"/>
      <c r="I134" s="131"/>
      <c r="J134" s="131"/>
      <c r="K134" s="131"/>
      <c r="L134" s="179"/>
    </row>
    <row r="135" spans="2:12" ht="18" customHeight="1" x14ac:dyDescent="0.2">
      <c r="B135" s="130"/>
      <c r="C135" s="131"/>
      <c r="D135" s="131"/>
      <c r="E135" s="131"/>
      <c r="F135" s="131"/>
      <c r="G135" s="131"/>
      <c r="H135" s="131"/>
      <c r="I135" s="131"/>
      <c r="J135" s="131"/>
      <c r="K135" s="131"/>
      <c r="L135" s="179"/>
    </row>
    <row r="136" spans="2:12" ht="18" customHeight="1" x14ac:dyDescent="0.2">
      <c r="B136" s="130"/>
      <c r="C136" s="131"/>
      <c r="D136" s="131"/>
      <c r="E136" s="131"/>
      <c r="F136" s="131"/>
      <c r="G136" s="131"/>
      <c r="H136" s="131"/>
      <c r="I136" s="131"/>
      <c r="J136" s="131"/>
      <c r="K136" s="131"/>
      <c r="L136" s="179"/>
    </row>
    <row r="137" spans="2:12" ht="18" customHeight="1" x14ac:dyDescent="0.2">
      <c r="B137" s="130"/>
      <c r="C137" s="131"/>
      <c r="D137" s="131"/>
      <c r="E137" s="131"/>
      <c r="F137" s="131"/>
      <c r="G137" s="131"/>
      <c r="H137" s="131"/>
      <c r="I137" s="131"/>
      <c r="J137" s="131"/>
      <c r="K137" s="131"/>
      <c r="L137" s="179"/>
    </row>
    <row r="138" spans="2:12" ht="18" customHeight="1" x14ac:dyDescent="0.2">
      <c r="B138" s="130"/>
      <c r="C138" s="131"/>
      <c r="D138" s="131"/>
      <c r="E138" s="131"/>
      <c r="F138" s="131"/>
      <c r="G138" s="131"/>
      <c r="H138" s="131"/>
      <c r="I138" s="131"/>
      <c r="J138" s="131"/>
      <c r="K138" s="131"/>
      <c r="L138" s="179"/>
    </row>
    <row r="139" spans="2:12" ht="18" customHeight="1" x14ac:dyDescent="0.2">
      <c r="B139" s="130"/>
      <c r="C139" s="131"/>
      <c r="D139" s="131"/>
      <c r="E139" s="131"/>
      <c r="F139" s="131"/>
      <c r="G139" s="131"/>
      <c r="H139" s="131"/>
      <c r="I139" s="131"/>
      <c r="J139" s="131"/>
      <c r="K139" s="131"/>
      <c r="L139" s="179"/>
    </row>
    <row r="140" spans="2:12" ht="18" customHeight="1" x14ac:dyDescent="0.2">
      <c r="B140" s="130"/>
      <c r="C140" s="131"/>
      <c r="D140" s="131"/>
      <c r="E140" s="131"/>
      <c r="F140" s="131"/>
      <c r="G140" s="131"/>
      <c r="H140" s="131"/>
      <c r="I140" s="131"/>
      <c r="J140" s="131"/>
      <c r="K140" s="131"/>
      <c r="L140" s="179"/>
    </row>
    <row r="141" spans="2:12" ht="18" customHeight="1" x14ac:dyDescent="0.2">
      <c r="B141" s="130"/>
      <c r="C141" s="131"/>
      <c r="D141" s="131"/>
      <c r="E141" s="131"/>
      <c r="F141" s="131"/>
      <c r="G141" s="131"/>
      <c r="H141" s="131"/>
      <c r="I141" s="131"/>
      <c r="J141" s="131"/>
      <c r="K141" s="131"/>
      <c r="L141" s="179"/>
    </row>
    <row r="142" spans="2:12" ht="18" customHeight="1" x14ac:dyDescent="0.2">
      <c r="B142" s="130"/>
      <c r="C142" s="131"/>
      <c r="D142" s="131"/>
      <c r="E142" s="131"/>
      <c r="F142" s="131"/>
      <c r="G142" s="131"/>
      <c r="H142" s="131"/>
      <c r="I142" s="131"/>
      <c r="J142" s="131"/>
      <c r="K142" s="131"/>
      <c r="L142" s="179"/>
    </row>
    <row r="143" spans="2:12" ht="18" customHeight="1" x14ac:dyDescent="0.2">
      <c r="B143" s="130"/>
      <c r="C143" s="131"/>
      <c r="D143" s="131"/>
      <c r="E143" s="131"/>
      <c r="F143" s="131"/>
      <c r="G143" s="131"/>
      <c r="H143" s="131"/>
      <c r="I143" s="131"/>
      <c r="J143" s="131"/>
      <c r="K143" s="131"/>
      <c r="L143" s="179"/>
    </row>
    <row r="144" spans="2:12" ht="18" customHeight="1" x14ac:dyDescent="0.2">
      <c r="B144" s="130"/>
      <c r="C144" s="131"/>
      <c r="D144" s="131"/>
      <c r="E144" s="131"/>
      <c r="F144" s="131"/>
      <c r="G144" s="131"/>
      <c r="H144" s="131"/>
      <c r="I144" s="131"/>
      <c r="J144" s="131"/>
      <c r="K144" s="131"/>
      <c r="L144" s="179"/>
    </row>
    <row r="145" spans="2:12" ht="18" customHeight="1" x14ac:dyDescent="0.2">
      <c r="B145" s="130"/>
      <c r="C145" s="131"/>
      <c r="D145" s="131"/>
      <c r="E145" s="131"/>
      <c r="F145" s="131"/>
      <c r="G145" s="131"/>
      <c r="H145" s="131"/>
      <c r="I145" s="131"/>
      <c r="J145" s="131"/>
      <c r="K145" s="131"/>
      <c r="L145" s="179"/>
    </row>
    <row r="146" spans="2:12" ht="18" customHeight="1" x14ac:dyDescent="0.2">
      <c r="B146" s="130"/>
      <c r="C146" s="131"/>
      <c r="D146" s="131"/>
      <c r="E146" s="131"/>
      <c r="F146" s="131"/>
      <c r="G146" s="131"/>
      <c r="H146" s="131"/>
      <c r="I146" s="131"/>
      <c r="J146" s="131"/>
      <c r="K146" s="131"/>
      <c r="L146" s="179"/>
    </row>
    <row r="147" spans="2:12" ht="18" customHeight="1" x14ac:dyDescent="0.2">
      <c r="B147" s="130"/>
      <c r="C147" s="131"/>
      <c r="D147" s="131"/>
      <c r="E147" s="131"/>
      <c r="F147" s="131"/>
      <c r="G147" s="131"/>
      <c r="H147" s="131"/>
      <c r="I147" s="131"/>
      <c r="J147" s="131"/>
      <c r="K147" s="131"/>
      <c r="L147" s="179"/>
    </row>
    <row r="148" spans="2:12" ht="18" customHeight="1" x14ac:dyDescent="0.2">
      <c r="B148" s="130"/>
      <c r="C148" s="131"/>
      <c r="D148" s="131"/>
      <c r="E148" s="131"/>
      <c r="F148" s="131"/>
      <c r="G148" s="131"/>
      <c r="H148" s="131"/>
      <c r="I148" s="131"/>
      <c r="J148" s="131"/>
      <c r="K148" s="131"/>
      <c r="L148" s="179"/>
    </row>
    <row r="149" spans="2:12" ht="18" customHeight="1" x14ac:dyDescent="0.2">
      <c r="B149" s="130"/>
      <c r="C149" s="131"/>
      <c r="D149" s="131"/>
      <c r="E149" s="131"/>
      <c r="F149" s="131"/>
      <c r="G149" s="131"/>
      <c r="H149" s="131"/>
      <c r="I149" s="131"/>
      <c r="J149" s="131"/>
      <c r="K149" s="131"/>
      <c r="L149" s="179"/>
    </row>
    <row r="150" spans="2:12" ht="18" customHeight="1" x14ac:dyDescent="0.2">
      <c r="B150" s="130"/>
      <c r="C150" s="131"/>
      <c r="D150" s="131"/>
      <c r="E150" s="131"/>
      <c r="F150" s="131"/>
      <c r="G150" s="131"/>
      <c r="H150" s="131"/>
      <c r="I150" s="131"/>
      <c r="J150" s="131"/>
      <c r="K150" s="131"/>
      <c r="L150" s="179"/>
    </row>
    <row r="151" spans="2:12" ht="18" customHeight="1" x14ac:dyDescent="0.2">
      <c r="B151" s="130"/>
      <c r="C151" s="131"/>
      <c r="D151" s="131"/>
      <c r="E151" s="131"/>
      <c r="F151" s="131"/>
      <c r="G151" s="131"/>
      <c r="H151" s="131"/>
      <c r="I151" s="131"/>
      <c r="J151" s="131"/>
      <c r="K151" s="131"/>
      <c r="L151" s="179"/>
    </row>
    <row r="152" spans="2:12" ht="18" customHeight="1" x14ac:dyDescent="0.2">
      <c r="B152" s="130"/>
      <c r="C152" s="131"/>
      <c r="D152" s="131"/>
      <c r="E152" s="131"/>
      <c r="F152" s="131"/>
      <c r="G152" s="131"/>
      <c r="H152" s="131"/>
      <c r="I152" s="131"/>
      <c r="J152" s="131"/>
      <c r="K152" s="131"/>
      <c r="L152" s="179"/>
    </row>
    <row r="153" spans="2:12" ht="18" customHeight="1" x14ac:dyDescent="0.2">
      <c r="B153" s="130"/>
      <c r="C153" s="131"/>
      <c r="D153" s="131"/>
      <c r="E153" s="131"/>
      <c r="F153" s="131"/>
      <c r="G153" s="131"/>
      <c r="H153" s="131"/>
      <c r="I153" s="131"/>
      <c r="J153" s="131"/>
      <c r="K153" s="131"/>
      <c r="L153" s="179"/>
    </row>
    <row r="154" spans="2:12" ht="18" customHeight="1" x14ac:dyDescent="0.2">
      <c r="B154" s="130"/>
      <c r="C154" s="131"/>
      <c r="D154" s="131"/>
      <c r="E154" s="131"/>
      <c r="F154" s="131"/>
      <c r="G154" s="131"/>
      <c r="H154" s="131"/>
      <c r="I154" s="131"/>
      <c r="J154" s="131"/>
      <c r="K154" s="131"/>
      <c r="L154" s="179"/>
    </row>
    <row r="155" spans="2:12" ht="18" customHeight="1" x14ac:dyDescent="0.2">
      <c r="B155" s="130"/>
      <c r="C155" s="131"/>
      <c r="D155" s="131"/>
      <c r="E155" s="131"/>
      <c r="F155" s="131"/>
      <c r="G155" s="131"/>
      <c r="H155" s="131"/>
      <c r="I155" s="131"/>
      <c r="J155" s="131"/>
      <c r="K155" s="131"/>
      <c r="L155" s="179"/>
    </row>
    <row r="156" spans="2:12" ht="18" customHeight="1" x14ac:dyDescent="0.2">
      <c r="B156" s="174"/>
      <c r="C156" s="175"/>
      <c r="D156" s="175"/>
      <c r="E156" s="175"/>
      <c r="F156" s="175"/>
      <c r="G156" s="175"/>
      <c r="H156" s="175"/>
      <c r="I156" s="175"/>
      <c r="J156" s="175"/>
      <c r="K156" s="175"/>
      <c r="L156" s="176"/>
    </row>
    <row r="157" spans="2:12" ht="3.95" customHeight="1" x14ac:dyDescent="0.2"/>
    <row r="158" spans="2:12" ht="18" customHeight="1" x14ac:dyDescent="0.2">
      <c r="B158" s="24" t="s">
        <v>1134</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1135</v>
      </c>
      <c r="D160" s="520"/>
      <c r="E160" s="521"/>
      <c r="F160" s="521"/>
      <c r="G160" s="521"/>
      <c r="H160" s="521"/>
      <c r="I160" s="521"/>
      <c r="J160" s="521"/>
      <c r="K160" s="522"/>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1136</v>
      </c>
    </row>
    <row r="164" spans="2:12" ht="18" customHeight="1" x14ac:dyDescent="0.2">
      <c r="B164" s="24" t="s">
        <v>1137</v>
      </c>
      <c r="C164" s="24"/>
      <c r="D164" s="25"/>
      <c r="E164" s="25"/>
      <c r="F164" s="25"/>
      <c r="G164" s="25"/>
      <c r="H164" s="25"/>
      <c r="I164" s="25"/>
      <c r="J164" s="25"/>
      <c r="K164" s="25"/>
      <c r="L164" s="26"/>
    </row>
    <row r="165" spans="2:12" ht="18" customHeight="1" x14ac:dyDescent="0.2">
      <c r="B165" s="130"/>
      <c r="C165" s="131"/>
      <c r="D165" s="72"/>
      <c r="E165" s="131"/>
      <c r="F165" s="131"/>
      <c r="G165" s="131"/>
      <c r="H165" s="131"/>
      <c r="I165" s="131"/>
      <c r="J165" s="131"/>
      <c r="K165" s="131"/>
      <c r="L165" s="179"/>
    </row>
    <row r="166" spans="2:12" ht="18" customHeight="1" x14ac:dyDescent="0.2">
      <c r="B166" s="130"/>
      <c r="C166" s="131"/>
      <c r="D166" s="72"/>
      <c r="E166" s="131"/>
      <c r="F166" s="131"/>
      <c r="G166" s="131"/>
      <c r="H166" s="131"/>
      <c r="I166" s="131"/>
      <c r="J166" s="131"/>
      <c r="K166" s="131"/>
      <c r="L166" s="179"/>
    </row>
    <row r="167" spans="2:12" ht="18" customHeight="1" x14ac:dyDescent="0.2">
      <c r="B167" s="130"/>
      <c r="C167" s="131"/>
      <c r="D167" s="72"/>
      <c r="E167" s="131"/>
      <c r="F167" s="131"/>
      <c r="G167" s="131"/>
      <c r="H167" s="131"/>
      <c r="I167" s="131"/>
      <c r="J167" s="131"/>
      <c r="K167" s="131"/>
      <c r="L167" s="179"/>
    </row>
    <row r="168" spans="2:12" ht="18" customHeight="1" x14ac:dyDescent="0.2">
      <c r="B168" s="130"/>
      <c r="C168" s="131"/>
      <c r="D168" s="72"/>
      <c r="E168" s="131"/>
      <c r="F168" s="131"/>
      <c r="G168" s="131"/>
      <c r="H168" s="131"/>
      <c r="I168" s="131"/>
      <c r="J168" s="131"/>
      <c r="K168" s="131"/>
      <c r="L168" s="179"/>
    </row>
    <row r="169" spans="2:12" ht="18" customHeight="1" x14ac:dyDescent="0.2">
      <c r="B169" s="130"/>
      <c r="C169" s="131"/>
      <c r="D169" s="72"/>
      <c r="E169" s="131"/>
      <c r="F169" s="131"/>
      <c r="G169" s="131"/>
      <c r="H169" s="131"/>
      <c r="I169" s="131"/>
      <c r="J169" s="131"/>
      <c r="K169" s="131"/>
      <c r="L169" s="179"/>
    </row>
    <row r="170" spans="2:12" ht="18" customHeight="1" x14ac:dyDescent="0.2">
      <c r="B170" s="130"/>
      <c r="C170" s="131"/>
      <c r="D170" s="72"/>
      <c r="E170" s="131"/>
      <c r="F170" s="131"/>
      <c r="G170" s="131"/>
      <c r="H170" s="131"/>
      <c r="I170" s="131"/>
      <c r="J170" s="131"/>
      <c r="K170" s="131"/>
      <c r="L170" s="179"/>
    </row>
    <row r="171" spans="2:12" ht="18" customHeight="1" x14ac:dyDescent="0.2">
      <c r="B171" s="130"/>
      <c r="C171" s="131"/>
      <c r="D171" s="72"/>
      <c r="E171" s="131"/>
      <c r="F171" s="131"/>
      <c r="G171" s="131"/>
      <c r="H171" s="131"/>
      <c r="I171" s="131"/>
      <c r="J171" s="131"/>
      <c r="K171" s="131"/>
      <c r="L171" s="179"/>
    </row>
    <row r="172" spans="2:12" ht="18" customHeight="1" x14ac:dyDescent="0.2">
      <c r="B172" s="130"/>
      <c r="C172" s="131"/>
      <c r="D172" s="72"/>
      <c r="E172" s="131"/>
      <c r="F172" s="131"/>
      <c r="G172" s="131"/>
      <c r="H172" s="131"/>
      <c r="I172" s="131"/>
      <c r="J172" s="131"/>
      <c r="K172" s="131"/>
      <c r="L172" s="179"/>
    </row>
    <row r="173" spans="2:12" ht="18" customHeight="1" x14ac:dyDescent="0.2">
      <c r="B173" s="130"/>
      <c r="C173" s="131"/>
      <c r="D173" s="72"/>
      <c r="E173" s="131"/>
      <c r="F173" s="131"/>
      <c r="G173" s="131"/>
      <c r="H173" s="131"/>
      <c r="I173" s="131"/>
      <c r="J173" s="131"/>
      <c r="K173" s="131"/>
      <c r="L173" s="179"/>
    </row>
    <row r="174" spans="2:12" ht="18" customHeight="1" x14ac:dyDescent="0.2">
      <c r="B174" s="130"/>
      <c r="C174" s="131"/>
      <c r="D174" s="72"/>
      <c r="E174" s="131"/>
      <c r="F174" s="131"/>
      <c r="G174" s="131"/>
      <c r="H174" s="131"/>
      <c r="I174" s="131"/>
      <c r="J174" s="131"/>
      <c r="K174" s="131"/>
      <c r="L174" s="179"/>
    </row>
    <row r="175" spans="2:12" ht="18" customHeight="1" x14ac:dyDescent="0.2">
      <c r="B175" s="130"/>
      <c r="C175" s="131"/>
      <c r="D175" s="72"/>
      <c r="E175" s="131"/>
      <c r="F175" s="131"/>
      <c r="G175" s="131"/>
      <c r="H175" s="131"/>
      <c r="I175" s="131"/>
      <c r="J175" s="131"/>
      <c r="K175" s="131"/>
      <c r="L175" s="179"/>
    </row>
    <row r="176" spans="2:12" ht="18" customHeight="1" x14ac:dyDescent="0.2">
      <c r="B176" s="130"/>
      <c r="C176" s="131"/>
      <c r="D176" s="72"/>
      <c r="E176" s="131"/>
      <c r="F176" s="131"/>
      <c r="G176" s="131"/>
      <c r="H176" s="131"/>
      <c r="I176" s="131"/>
      <c r="J176" s="131"/>
      <c r="K176" s="131"/>
      <c r="L176" s="179"/>
    </row>
    <row r="177" spans="2:12" ht="18" customHeight="1" x14ac:dyDescent="0.2">
      <c r="B177" s="130"/>
      <c r="C177" s="131"/>
      <c r="D177" s="72"/>
      <c r="E177" s="131"/>
      <c r="F177" s="131"/>
      <c r="G177" s="131"/>
      <c r="H177" s="131"/>
      <c r="I177" s="131"/>
      <c r="J177" s="131"/>
      <c r="K177" s="131"/>
      <c r="L177" s="179"/>
    </row>
    <row r="178" spans="2:12" ht="18" customHeight="1" x14ac:dyDescent="0.2">
      <c r="B178" s="130"/>
      <c r="C178" s="131"/>
      <c r="D178" s="72"/>
      <c r="E178" s="131"/>
      <c r="F178" s="131"/>
      <c r="G178" s="131"/>
      <c r="H178" s="131"/>
      <c r="I178" s="131"/>
      <c r="J178" s="131"/>
      <c r="K178" s="131"/>
      <c r="L178" s="179"/>
    </row>
    <row r="179" spans="2:12" ht="18" customHeight="1" x14ac:dyDescent="0.2">
      <c r="B179" s="130"/>
      <c r="C179" s="131"/>
      <c r="D179" s="72"/>
      <c r="E179" s="131"/>
      <c r="F179" s="131"/>
      <c r="G179" s="131"/>
      <c r="H179" s="131"/>
      <c r="I179" s="131"/>
      <c r="J179" s="131"/>
      <c r="K179" s="131"/>
      <c r="L179" s="179"/>
    </row>
    <row r="180" spans="2:12" ht="18" customHeight="1" x14ac:dyDescent="0.2">
      <c r="B180" s="130"/>
      <c r="C180" s="131"/>
      <c r="D180" s="72"/>
      <c r="E180" s="131"/>
      <c r="F180" s="131"/>
      <c r="G180" s="131"/>
      <c r="H180" s="131"/>
      <c r="I180" s="131"/>
      <c r="J180" s="131"/>
      <c r="K180" s="131"/>
      <c r="L180" s="179"/>
    </row>
    <row r="181" spans="2:12" ht="18" customHeight="1" x14ac:dyDescent="0.2">
      <c r="B181" s="130"/>
      <c r="C181" s="131"/>
      <c r="D181" s="72"/>
      <c r="E181" s="131"/>
      <c r="F181" s="131"/>
      <c r="G181" s="131"/>
      <c r="H181" s="131"/>
      <c r="I181" s="131"/>
      <c r="J181" s="131"/>
      <c r="K181" s="131"/>
      <c r="L181" s="179"/>
    </row>
    <row r="182" spans="2:12" ht="18" customHeight="1" x14ac:dyDescent="0.2">
      <c r="B182" s="130"/>
      <c r="C182" s="131"/>
      <c r="D182" s="72"/>
      <c r="E182" s="131"/>
      <c r="F182" s="131"/>
      <c r="G182" s="131"/>
      <c r="H182" s="131"/>
      <c r="I182" s="131"/>
      <c r="J182" s="131"/>
      <c r="K182" s="131"/>
      <c r="L182" s="179"/>
    </row>
    <row r="183" spans="2:12" ht="18" customHeight="1" x14ac:dyDescent="0.2">
      <c r="B183" s="130"/>
      <c r="C183" s="131"/>
      <c r="D183" s="72"/>
      <c r="E183" s="131"/>
      <c r="F183" s="131"/>
      <c r="G183" s="131"/>
      <c r="H183" s="131"/>
      <c r="I183" s="131"/>
      <c r="J183" s="131"/>
      <c r="K183" s="131"/>
      <c r="L183" s="179"/>
    </row>
    <row r="184" spans="2:12" ht="18" customHeight="1" x14ac:dyDescent="0.2">
      <c r="B184" s="130"/>
      <c r="C184" s="131"/>
      <c r="D184" s="72"/>
      <c r="E184" s="131"/>
      <c r="F184" s="131"/>
      <c r="G184" s="131"/>
      <c r="H184" s="131"/>
      <c r="I184" s="131"/>
      <c r="J184" s="131"/>
      <c r="K184" s="131"/>
      <c r="L184" s="179"/>
    </row>
    <row r="185" spans="2:12" ht="18" customHeight="1" x14ac:dyDescent="0.2">
      <c r="B185" s="130"/>
      <c r="C185" s="131"/>
      <c r="D185" s="72"/>
      <c r="E185" s="131"/>
      <c r="F185" s="131"/>
      <c r="G185" s="131"/>
      <c r="H185" s="131"/>
      <c r="I185" s="131"/>
      <c r="J185" s="131"/>
      <c r="K185" s="131"/>
      <c r="L185" s="179"/>
    </row>
    <row r="186" spans="2:12" ht="18" customHeight="1" x14ac:dyDescent="0.2">
      <c r="B186" s="130"/>
      <c r="C186" s="131"/>
      <c r="D186" s="72"/>
      <c r="E186" s="131"/>
      <c r="F186" s="131"/>
      <c r="G186" s="131"/>
      <c r="H186" s="131"/>
      <c r="I186" s="131"/>
      <c r="J186" s="131"/>
      <c r="K186" s="131"/>
      <c r="L186" s="179"/>
    </row>
    <row r="187" spans="2:12" ht="18" customHeight="1" x14ac:dyDescent="0.2">
      <c r="B187" s="130"/>
      <c r="C187" s="131"/>
      <c r="D187" s="72"/>
      <c r="E187" s="131"/>
      <c r="F187" s="131"/>
      <c r="G187" s="131"/>
      <c r="H187" s="131"/>
      <c r="I187" s="131"/>
      <c r="J187" s="131"/>
      <c r="K187" s="131"/>
      <c r="L187" s="179"/>
    </row>
    <row r="188" spans="2:12" ht="18" customHeight="1" x14ac:dyDescent="0.2">
      <c r="B188" s="130"/>
      <c r="C188" s="131"/>
      <c r="D188" s="72"/>
      <c r="E188" s="131"/>
      <c r="F188" s="131"/>
      <c r="G188" s="131"/>
      <c r="H188" s="131"/>
      <c r="I188" s="131"/>
      <c r="J188" s="131"/>
      <c r="K188" s="131"/>
      <c r="L188" s="179"/>
    </row>
    <row r="189" spans="2:12" ht="18" customHeight="1" x14ac:dyDescent="0.2">
      <c r="B189" s="130"/>
      <c r="C189" s="131"/>
      <c r="D189" s="72"/>
      <c r="E189" s="131"/>
      <c r="F189" s="131"/>
      <c r="G189" s="131"/>
      <c r="H189" s="131"/>
      <c r="I189" s="131"/>
      <c r="J189" s="131"/>
      <c r="K189" s="131"/>
      <c r="L189" s="179"/>
    </row>
    <row r="190" spans="2:12" ht="18" customHeight="1" x14ac:dyDescent="0.2">
      <c r="B190" s="130"/>
      <c r="C190" s="131"/>
      <c r="D190" s="72"/>
      <c r="E190" s="131"/>
      <c r="F190" s="131"/>
      <c r="G190" s="131"/>
      <c r="H190" s="131"/>
      <c r="I190" s="131"/>
      <c r="J190" s="131"/>
      <c r="K190" s="131"/>
      <c r="L190" s="179"/>
    </row>
    <row r="191" spans="2:12" ht="18" customHeight="1" x14ac:dyDescent="0.2">
      <c r="B191" s="130"/>
      <c r="C191" s="131"/>
      <c r="D191" s="72"/>
      <c r="E191" s="131"/>
      <c r="F191" s="131"/>
      <c r="G191" s="131"/>
      <c r="H191" s="131"/>
      <c r="I191" s="131"/>
      <c r="J191" s="131"/>
      <c r="K191" s="131"/>
      <c r="L191" s="179"/>
    </row>
    <row r="192" spans="2:12" ht="18" customHeight="1" x14ac:dyDescent="0.2">
      <c r="B192" s="130"/>
      <c r="C192" s="131"/>
      <c r="D192" s="72"/>
      <c r="E192" s="131"/>
      <c r="F192" s="131"/>
      <c r="G192" s="131"/>
      <c r="H192" s="131"/>
      <c r="I192" s="131"/>
      <c r="J192" s="131"/>
      <c r="K192" s="131"/>
      <c r="L192" s="179"/>
    </row>
    <row r="193" spans="2:12" ht="18" customHeight="1" x14ac:dyDescent="0.2">
      <c r="B193" s="130"/>
      <c r="C193" s="131"/>
      <c r="D193" s="72"/>
      <c r="E193" s="131"/>
      <c r="F193" s="131"/>
      <c r="G193" s="131"/>
      <c r="H193" s="131"/>
      <c r="I193" s="131"/>
      <c r="J193" s="131"/>
      <c r="K193" s="131"/>
      <c r="L193" s="179"/>
    </row>
    <row r="194" spans="2:12" ht="18" customHeight="1" x14ac:dyDescent="0.2">
      <c r="B194" s="130"/>
      <c r="C194" s="131"/>
      <c r="D194" s="72"/>
      <c r="E194" s="131"/>
      <c r="F194" s="131"/>
      <c r="G194" s="131"/>
      <c r="H194" s="131"/>
      <c r="I194" s="131"/>
      <c r="J194" s="131"/>
      <c r="K194" s="131"/>
      <c r="L194" s="179"/>
    </row>
    <row r="195" spans="2:12" ht="18" customHeight="1" x14ac:dyDescent="0.2">
      <c r="B195" s="130"/>
      <c r="C195" s="131"/>
      <c r="D195" s="72"/>
      <c r="E195" s="131"/>
      <c r="F195" s="131"/>
      <c r="G195" s="131"/>
      <c r="H195" s="131"/>
      <c r="I195" s="131"/>
      <c r="J195" s="131"/>
      <c r="K195" s="131"/>
      <c r="L195" s="179"/>
    </row>
    <row r="196" spans="2:12" ht="18" customHeight="1" x14ac:dyDescent="0.2">
      <c r="B196" s="130"/>
      <c r="C196" s="131"/>
      <c r="D196" s="72"/>
      <c r="E196" s="131"/>
      <c r="F196" s="131"/>
      <c r="G196" s="131"/>
      <c r="H196" s="131"/>
      <c r="I196" s="131"/>
      <c r="J196" s="131"/>
      <c r="K196" s="131"/>
      <c r="L196" s="179"/>
    </row>
    <row r="197" spans="2:12" ht="18" customHeight="1" x14ac:dyDescent="0.2">
      <c r="B197" s="130"/>
      <c r="C197" s="131"/>
      <c r="D197" s="72"/>
      <c r="E197" s="131"/>
      <c r="F197" s="131"/>
      <c r="G197" s="131"/>
      <c r="H197" s="131"/>
      <c r="I197" s="131"/>
      <c r="J197" s="131"/>
      <c r="K197" s="131"/>
      <c r="L197" s="179"/>
    </row>
    <row r="198" spans="2:12" ht="18" customHeight="1" x14ac:dyDescent="0.2">
      <c r="B198" s="130"/>
      <c r="C198" s="131"/>
      <c r="D198" s="72"/>
      <c r="E198" s="131"/>
      <c r="F198" s="131"/>
      <c r="G198" s="131"/>
      <c r="H198" s="131"/>
      <c r="I198" s="131"/>
      <c r="J198" s="131"/>
      <c r="K198" s="131"/>
      <c r="L198" s="179"/>
    </row>
    <row r="199" spans="2:12" ht="18" customHeight="1" x14ac:dyDescent="0.2">
      <c r="B199" s="130"/>
      <c r="C199" s="131"/>
      <c r="D199" s="72"/>
      <c r="E199" s="131"/>
      <c r="F199" s="131"/>
      <c r="G199" s="131"/>
      <c r="H199" s="131"/>
      <c r="I199" s="131"/>
      <c r="J199" s="131"/>
      <c r="K199" s="131"/>
      <c r="L199" s="179"/>
    </row>
    <row r="200" spans="2:12" ht="18" customHeight="1" x14ac:dyDescent="0.2">
      <c r="B200" s="130"/>
      <c r="C200" s="131"/>
      <c r="D200" s="72"/>
      <c r="E200" s="131"/>
      <c r="F200" s="131"/>
      <c r="G200" s="131"/>
      <c r="H200" s="131"/>
      <c r="I200" s="131"/>
      <c r="J200" s="131"/>
      <c r="K200" s="131"/>
      <c r="L200" s="179"/>
    </row>
    <row r="201" spans="2:12" ht="18" customHeight="1" x14ac:dyDescent="0.2">
      <c r="B201" s="130"/>
      <c r="C201" s="131"/>
      <c r="D201" s="72"/>
      <c r="E201" s="131"/>
      <c r="F201" s="131"/>
      <c r="G201" s="131"/>
      <c r="H201" s="131"/>
      <c r="I201" s="131"/>
      <c r="J201" s="131"/>
      <c r="K201" s="131"/>
      <c r="L201" s="179"/>
    </row>
    <row r="202" spans="2:12" ht="18" customHeight="1" x14ac:dyDescent="0.2">
      <c r="B202" s="130"/>
      <c r="C202" s="131"/>
      <c r="D202" s="72"/>
      <c r="E202" s="131"/>
      <c r="F202" s="131"/>
      <c r="G202" s="131"/>
      <c r="H202" s="131"/>
      <c r="I202" s="131"/>
      <c r="J202" s="131"/>
      <c r="K202" s="131"/>
      <c r="L202" s="179"/>
    </row>
    <row r="203" spans="2:12" ht="18" customHeight="1" x14ac:dyDescent="0.2">
      <c r="B203" s="130"/>
      <c r="C203" s="131"/>
      <c r="D203" s="72"/>
      <c r="E203" s="131"/>
      <c r="F203" s="131"/>
      <c r="G203" s="131"/>
      <c r="H203" s="131"/>
      <c r="I203" s="131"/>
      <c r="J203" s="131"/>
      <c r="K203" s="131"/>
      <c r="L203" s="179"/>
    </row>
    <row r="204" spans="2:12" ht="18" customHeight="1" x14ac:dyDescent="0.2">
      <c r="B204" s="130"/>
      <c r="C204" s="131"/>
      <c r="D204" s="72"/>
      <c r="E204" s="131"/>
      <c r="F204" s="131"/>
      <c r="G204" s="131"/>
      <c r="H204" s="131"/>
      <c r="I204" s="131"/>
      <c r="J204" s="131"/>
      <c r="K204" s="131"/>
      <c r="L204" s="179"/>
    </row>
    <row r="205" spans="2:12" ht="18" customHeight="1" x14ac:dyDescent="0.2">
      <c r="B205" s="130"/>
      <c r="C205" s="131"/>
      <c r="D205" s="72"/>
      <c r="E205" s="131"/>
      <c r="F205" s="131"/>
      <c r="G205" s="131"/>
      <c r="H205" s="131"/>
      <c r="I205" s="131"/>
      <c r="J205" s="131"/>
      <c r="K205" s="131"/>
      <c r="L205" s="179"/>
    </row>
    <row r="206" spans="2:12" ht="18" customHeight="1" x14ac:dyDescent="0.2">
      <c r="B206" s="130"/>
      <c r="C206" s="131"/>
      <c r="D206" s="72"/>
      <c r="E206" s="131"/>
      <c r="F206" s="131"/>
      <c r="G206" s="131"/>
      <c r="H206" s="131"/>
      <c r="I206" s="131"/>
      <c r="J206" s="131"/>
      <c r="K206" s="131"/>
      <c r="L206" s="179"/>
    </row>
    <row r="207" spans="2:12" ht="18" customHeight="1" x14ac:dyDescent="0.2">
      <c r="B207" s="130"/>
      <c r="C207" s="131"/>
      <c r="D207" s="72"/>
      <c r="E207" s="131"/>
      <c r="F207" s="131"/>
      <c r="G207" s="131"/>
      <c r="H207" s="131"/>
      <c r="I207" s="131"/>
      <c r="J207" s="131"/>
      <c r="K207" s="131"/>
      <c r="L207" s="179"/>
    </row>
    <row r="208" spans="2:12" ht="18" customHeight="1" x14ac:dyDescent="0.2">
      <c r="B208" s="130"/>
      <c r="C208" s="131"/>
      <c r="D208" s="72"/>
      <c r="E208" s="131"/>
      <c r="F208" s="131"/>
      <c r="G208" s="131"/>
      <c r="H208" s="131"/>
      <c r="I208" s="131"/>
      <c r="J208" s="131"/>
      <c r="K208" s="131"/>
      <c r="L208" s="179"/>
    </row>
    <row r="209" spans="2:14" ht="18" customHeight="1" x14ac:dyDescent="0.2">
      <c r="B209" s="130"/>
      <c r="C209" s="131"/>
      <c r="D209" s="72"/>
      <c r="E209" s="131"/>
      <c r="F209" s="131"/>
      <c r="G209" s="131"/>
      <c r="H209" s="131"/>
      <c r="I209" s="131"/>
      <c r="J209" s="131"/>
      <c r="K209" s="131"/>
      <c r="L209" s="179"/>
    </row>
    <row r="210" spans="2:14" ht="18" customHeight="1" x14ac:dyDescent="0.2">
      <c r="B210" s="130"/>
      <c r="C210" s="131"/>
      <c r="D210" s="72"/>
      <c r="E210" s="131"/>
      <c r="F210" s="131"/>
      <c r="G210" s="131"/>
      <c r="H210" s="131"/>
      <c r="I210" s="131"/>
      <c r="J210" s="131"/>
      <c r="K210" s="131"/>
      <c r="L210" s="179"/>
    </row>
    <row r="211" spans="2:14" ht="18" customHeight="1" x14ac:dyDescent="0.2">
      <c r="B211" s="174"/>
      <c r="C211" s="175"/>
      <c r="D211" s="175"/>
      <c r="E211" s="175"/>
      <c r="F211" s="175"/>
      <c r="G211" s="175"/>
      <c r="H211" s="175"/>
      <c r="I211" s="175"/>
      <c r="J211" s="175"/>
      <c r="K211" s="175"/>
      <c r="L211" s="176"/>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1154</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0"/>
      <c r="C217" s="216" t="s">
        <v>1138</v>
      </c>
      <c r="D217" s="72"/>
      <c r="E217" s="131"/>
      <c r="F217" s="131"/>
      <c r="G217" s="131"/>
      <c r="H217" s="131"/>
      <c r="I217" s="131"/>
      <c r="J217" s="131"/>
      <c r="K217" s="131"/>
      <c r="L217" s="179"/>
    </row>
    <row r="218" spans="2:14" ht="33" customHeight="1" x14ac:dyDescent="0.2">
      <c r="B218" s="186"/>
      <c r="C218" s="492"/>
      <c r="D218" s="482"/>
      <c r="E218" s="482"/>
      <c r="F218" s="482"/>
      <c r="G218" s="482"/>
      <c r="H218" s="482"/>
      <c r="I218" s="482"/>
      <c r="J218" s="482"/>
      <c r="K218" s="483"/>
      <c r="L218" s="179"/>
      <c r="N218" s="402"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0"/>
      <c r="C220" s="365" t="s">
        <v>1146</v>
      </c>
      <c r="D220" s="72"/>
      <c r="E220" s="131"/>
      <c r="F220" s="131"/>
      <c r="G220" s="131"/>
      <c r="H220" s="131"/>
      <c r="I220" s="131"/>
      <c r="J220" s="131"/>
      <c r="K220" s="131"/>
      <c r="L220" s="179"/>
    </row>
    <row r="221" spans="2:14" ht="33" customHeight="1" x14ac:dyDescent="0.2">
      <c r="B221" s="186"/>
      <c r="C221" s="492"/>
      <c r="D221" s="482"/>
      <c r="E221" s="482"/>
      <c r="F221" s="482"/>
      <c r="G221" s="482"/>
      <c r="H221" s="389"/>
      <c r="I221" s="390"/>
      <c r="J221" s="390"/>
      <c r="K221" s="407"/>
      <c r="L221" s="179"/>
      <c r="N221" s="402"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5"/>
      <c r="C223" s="364" t="s">
        <v>1147</v>
      </c>
      <c r="D223" s="116"/>
      <c r="E223" s="131"/>
      <c r="F223" s="131"/>
      <c r="G223" s="131"/>
      <c r="H223" s="131"/>
      <c r="I223" s="131"/>
      <c r="J223" s="131"/>
      <c r="K223" s="131"/>
      <c r="L223" s="179"/>
    </row>
    <row r="224" spans="2:14" ht="18" customHeight="1" x14ac:dyDescent="0.2">
      <c r="B224" s="130"/>
      <c r="C224" s="131"/>
      <c r="D224" s="72"/>
      <c r="E224" s="131"/>
      <c r="F224" s="131"/>
      <c r="G224" s="131"/>
      <c r="H224" s="131"/>
      <c r="I224" s="131"/>
      <c r="J224" s="131"/>
      <c r="K224" s="131"/>
      <c r="L224" s="179"/>
    </row>
    <row r="225" spans="2:12" ht="18" customHeight="1" x14ac:dyDescent="0.2">
      <c r="B225" s="130"/>
      <c r="C225" s="131"/>
      <c r="D225" s="72"/>
      <c r="E225" s="131"/>
      <c r="F225" s="131"/>
      <c r="G225" s="131"/>
      <c r="H225" s="131"/>
      <c r="I225" s="131"/>
      <c r="J225" s="131"/>
      <c r="K225" s="131"/>
      <c r="L225" s="363"/>
    </row>
    <row r="226" spans="2:12" ht="18" customHeight="1" x14ac:dyDescent="0.2">
      <c r="B226" s="130"/>
      <c r="C226" s="131"/>
      <c r="D226" s="72"/>
      <c r="E226" s="131"/>
      <c r="F226" s="131"/>
      <c r="G226" s="131"/>
      <c r="H226" s="131"/>
      <c r="I226" s="131"/>
      <c r="J226" s="131"/>
      <c r="K226" s="131"/>
      <c r="L226" s="363"/>
    </row>
    <row r="227" spans="2:12" ht="18" customHeight="1" x14ac:dyDescent="0.2">
      <c r="B227" s="130"/>
      <c r="C227" s="131"/>
      <c r="D227" s="72"/>
      <c r="E227" s="131"/>
      <c r="F227" s="131"/>
      <c r="G227" s="131"/>
      <c r="H227" s="131"/>
      <c r="I227" s="131"/>
      <c r="J227" s="131"/>
      <c r="K227" s="131"/>
      <c r="L227" s="363"/>
    </row>
    <row r="228" spans="2:12" ht="18" customHeight="1" x14ac:dyDescent="0.2">
      <c r="B228" s="130"/>
      <c r="C228" s="131"/>
      <c r="D228" s="72"/>
      <c r="E228" s="131"/>
      <c r="F228" s="131"/>
      <c r="G228" s="131"/>
      <c r="H228" s="131"/>
      <c r="I228" s="131"/>
      <c r="J228" s="131"/>
      <c r="K228" s="131"/>
      <c r="L228" s="363"/>
    </row>
    <row r="229" spans="2:12" ht="18" customHeight="1" x14ac:dyDescent="0.2">
      <c r="B229" s="130"/>
      <c r="C229" s="131"/>
      <c r="D229" s="72"/>
      <c r="E229" s="131"/>
      <c r="F229" s="131"/>
      <c r="G229" s="131"/>
      <c r="H229" s="131"/>
      <c r="I229" s="131"/>
      <c r="J229" s="131"/>
      <c r="K229" s="131"/>
      <c r="L229" s="363"/>
    </row>
    <row r="230" spans="2:12" ht="18" customHeight="1" x14ac:dyDescent="0.2">
      <c r="B230" s="130"/>
      <c r="C230" s="131"/>
      <c r="D230" s="72"/>
      <c r="E230" s="131"/>
      <c r="F230" s="131"/>
      <c r="G230" s="131"/>
      <c r="H230" s="131"/>
      <c r="I230" s="131"/>
      <c r="J230" s="131"/>
      <c r="K230" s="131"/>
      <c r="L230" s="363"/>
    </row>
    <row r="231" spans="2:12" ht="18" customHeight="1" x14ac:dyDescent="0.2">
      <c r="B231" s="130"/>
      <c r="C231" s="131"/>
      <c r="D231" s="72"/>
      <c r="E231" s="131"/>
      <c r="F231" s="131"/>
      <c r="G231" s="131"/>
      <c r="H231" s="131"/>
      <c r="I231" s="131"/>
      <c r="J231" s="131"/>
      <c r="K231" s="131"/>
      <c r="L231" s="363"/>
    </row>
    <row r="232" spans="2:12" ht="18" customHeight="1" x14ac:dyDescent="0.2">
      <c r="B232" s="130"/>
      <c r="C232" s="131"/>
      <c r="D232" s="72"/>
      <c r="E232" s="131"/>
      <c r="F232" s="131"/>
      <c r="G232" s="131"/>
      <c r="H232" s="131"/>
      <c r="I232" s="131"/>
      <c r="J232" s="131"/>
      <c r="K232" s="131"/>
      <c r="L232" s="363"/>
    </row>
    <row r="233" spans="2:12" ht="18" customHeight="1" x14ac:dyDescent="0.2">
      <c r="B233" s="130"/>
      <c r="C233" s="131"/>
      <c r="D233" s="72"/>
      <c r="E233" s="131"/>
      <c r="F233" s="131"/>
      <c r="G233" s="131"/>
      <c r="H233" s="131"/>
      <c r="I233" s="131"/>
      <c r="J233" s="131"/>
      <c r="K233" s="131"/>
      <c r="L233" s="363"/>
    </row>
    <row r="234" spans="2:12" ht="18" customHeight="1" x14ac:dyDescent="0.2">
      <c r="B234" s="130"/>
      <c r="C234" s="131"/>
      <c r="D234" s="72"/>
      <c r="E234" s="131"/>
      <c r="F234" s="131"/>
      <c r="G234" s="131"/>
      <c r="H234" s="131"/>
      <c r="I234" s="131"/>
      <c r="J234" s="131"/>
      <c r="K234" s="131"/>
      <c r="L234" s="363"/>
    </row>
    <row r="235" spans="2:12" ht="18" customHeight="1" x14ac:dyDescent="0.2">
      <c r="B235" s="130"/>
      <c r="C235" s="131"/>
      <c r="D235" s="72"/>
      <c r="E235" s="131"/>
      <c r="F235" s="131"/>
      <c r="G235" s="131"/>
      <c r="H235" s="131"/>
      <c r="I235" s="131"/>
      <c r="J235" s="131"/>
      <c r="K235" s="131"/>
      <c r="L235" s="179"/>
    </row>
    <row r="236" spans="2:12" ht="18" customHeight="1" x14ac:dyDescent="0.2">
      <c r="B236" s="130"/>
      <c r="C236" s="188"/>
      <c r="D236" s="72"/>
      <c r="E236" s="131"/>
      <c r="F236" s="131"/>
      <c r="G236" s="131"/>
      <c r="H236" s="131"/>
      <c r="I236" s="131"/>
      <c r="J236" s="131"/>
      <c r="K236" s="131"/>
      <c r="L236" s="179"/>
    </row>
    <row r="237" spans="2:12" ht="18" customHeight="1" x14ac:dyDescent="0.2">
      <c r="B237" s="130"/>
      <c r="C237" s="131"/>
      <c r="D237" s="72"/>
      <c r="E237" s="131"/>
      <c r="F237" s="131"/>
      <c r="G237" s="131"/>
      <c r="H237" s="131"/>
      <c r="I237" s="131"/>
      <c r="J237" s="131"/>
      <c r="K237" s="131"/>
      <c r="L237" s="179"/>
    </row>
    <row r="238" spans="2:12" ht="18" customHeight="1" x14ac:dyDescent="0.2">
      <c r="B238" s="130"/>
      <c r="C238" s="131"/>
      <c r="D238" s="72"/>
      <c r="E238" s="131"/>
      <c r="F238" s="131"/>
      <c r="G238" s="131"/>
      <c r="H238" s="131"/>
      <c r="I238" s="131"/>
      <c r="J238" s="131"/>
      <c r="K238" s="131"/>
      <c r="L238" s="179"/>
    </row>
    <row r="239" spans="2:12" ht="18" customHeight="1" x14ac:dyDescent="0.2">
      <c r="B239" s="130"/>
      <c r="C239" s="131"/>
      <c r="D239" s="72"/>
      <c r="E239" s="131"/>
      <c r="F239" s="131"/>
      <c r="G239" s="131"/>
      <c r="H239" s="131"/>
      <c r="I239" s="131"/>
      <c r="J239" s="131"/>
      <c r="K239" s="131"/>
      <c r="L239" s="179"/>
    </row>
    <row r="240" spans="2:12" ht="18" customHeight="1" x14ac:dyDescent="0.2">
      <c r="B240" s="130"/>
      <c r="C240" s="131"/>
      <c r="D240" s="72"/>
      <c r="E240" s="131"/>
      <c r="F240" s="131"/>
      <c r="G240" s="131"/>
      <c r="H240" s="131"/>
      <c r="I240" s="131"/>
      <c r="J240" s="131"/>
      <c r="K240" s="131"/>
      <c r="L240" s="179"/>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0"/>
      <c r="C243" s="216" t="s">
        <v>1139</v>
      </c>
      <c r="D243" s="72"/>
      <c r="E243" s="131"/>
      <c r="F243" s="131"/>
      <c r="G243" s="131"/>
      <c r="H243" s="131"/>
      <c r="I243" s="131"/>
      <c r="J243" s="131"/>
      <c r="K243" s="131"/>
      <c r="L243" s="179"/>
    </row>
    <row r="244" spans="2:14" ht="33" customHeight="1" x14ac:dyDescent="0.2">
      <c r="B244" s="186"/>
      <c r="C244" s="492"/>
      <c r="D244" s="482"/>
      <c r="E244" s="482"/>
      <c r="F244" s="482"/>
      <c r="G244" s="482"/>
      <c r="H244" s="482"/>
      <c r="I244" s="482"/>
      <c r="J244" s="482"/>
      <c r="K244" s="483"/>
      <c r="L244" s="179"/>
      <c r="N244" s="402"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0"/>
      <c r="C246" s="365" t="s">
        <v>1146</v>
      </c>
      <c r="D246" s="72"/>
      <c r="E246" s="131"/>
      <c r="F246" s="131"/>
      <c r="G246" s="131"/>
      <c r="H246" s="131"/>
      <c r="I246" s="131"/>
      <c r="J246" s="131"/>
      <c r="K246" s="131"/>
      <c r="L246" s="179"/>
    </row>
    <row r="247" spans="2:14" ht="33" customHeight="1" x14ac:dyDescent="0.2">
      <c r="B247" s="186"/>
      <c r="C247" s="492"/>
      <c r="D247" s="482"/>
      <c r="E247" s="482"/>
      <c r="F247" s="482"/>
      <c r="G247" s="482"/>
      <c r="H247" s="389"/>
      <c r="I247" s="390"/>
      <c r="J247" s="390"/>
      <c r="K247" s="390"/>
      <c r="L247" s="179"/>
      <c r="N247" s="402"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30"/>
      <c r="C249" s="131"/>
      <c r="D249" s="72"/>
      <c r="E249" s="131"/>
      <c r="F249" s="131"/>
      <c r="G249" s="131"/>
      <c r="H249" s="131"/>
      <c r="I249" s="131"/>
      <c r="J249" s="131"/>
      <c r="K249" s="131"/>
      <c r="L249" s="179"/>
    </row>
    <row r="250" spans="2:14" ht="18" customHeight="1" x14ac:dyDescent="0.2">
      <c r="B250" s="130"/>
      <c r="C250" s="131"/>
      <c r="D250" s="72"/>
      <c r="E250" s="131"/>
      <c r="F250" s="131"/>
      <c r="G250" s="131"/>
      <c r="H250" s="131"/>
      <c r="I250" s="131"/>
      <c r="J250" s="131"/>
      <c r="K250" s="131"/>
      <c r="L250" s="363"/>
    </row>
    <row r="251" spans="2:14" ht="18" customHeight="1" x14ac:dyDescent="0.2">
      <c r="B251" s="130"/>
      <c r="C251" s="131"/>
      <c r="D251" s="72"/>
      <c r="E251" s="131"/>
      <c r="F251" s="131"/>
      <c r="G251" s="131"/>
      <c r="H251" s="131"/>
      <c r="I251" s="131"/>
      <c r="J251" s="131"/>
      <c r="K251" s="131"/>
      <c r="L251" s="363"/>
    </row>
    <row r="252" spans="2:14" ht="18" customHeight="1" x14ac:dyDescent="0.2">
      <c r="B252" s="130"/>
      <c r="C252" s="131"/>
      <c r="D252" s="72"/>
      <c r="E252" s="131"/>
      <c r="F252" s="131"/>
      <c r="G252" s="131"/>
      <c r="H252" s="131"/>
      <c r="I252" s="131"/>
      <c r="J252" s="131"/>
      <c r="K252" s="131"/>
      <c r="L252" s="363"/>
    </row>
    <row r="253" spans="2:14" ht="18" customHeight="1" x14ac:dyDescent="0.2">
      <c r="B253" s="130"/>
      <c r="C253" s="131"/>
      <c r="D253" s="72"/>
      <c r="E253" s="131"/>
      <c r="F253" s="131"/>
      <c r="G253" s="131"/>
      <c r="H253" s="131"/>
      <c r="I253" s="131"/>
      <c r="J253" s="131"/>
      <c r="K253" s="131"/>
      <c r="L253" s="363"/>
    </row>
    <row r="254" spans="2:14" ht="18" customHeight="1" x14ac:dyDescent="0.2">
      <c r="B254" s="130"/>
      <c r="C254" s="131"/>
      <c r="D254" s="72"/>
      <c r="E254" s="131"/>
      <c r="F254" s="131"/>
      <c r="G254" s="131"/>
      <c r="H254" s="131"/>
      <c r="I254" s="131"/>
      <c r="J254" s="131"/>
      <c r="K254" s="131"/>
      <c r="L254" s="363"/>
    </row>
    <row r="255" spans="2:14" ht="18" customHeight="1" x14ac:dyDescent="0.2">
      <c r="B255" s="130"/>
      <c r="C255" s="131"/>
      <c r="D255" s="72"/>
      <c r="E255" s="131"/>
      <c r="F255" s="131"/>
      <c r="G255" s="131"/>
      <c r="H255" s="131"/>
      <c r="I255" s="131"/>
      <c r="J255" s="131"/>
      <c r="K255" s="131"/>
      <c r="L255" s="363"/>
    </row>
    <row r="256" spans="2:14" ht="18" customHeight="1" x14ac:dyDescent="0.2">
      <c r="B256" s="130"/>
      <c r="C256" s="131"/>
      <c r="D256" s="72"/>
      <c r="E256" s="131"/>
      <c r="F256" s="131"/>
      <c r="G256" s="131"/>
      <c r="H256" s="131"/>
      <c r="I256" s="131"/>
      <c r="J256" s="131"/>
      <c r="K256" s="131"/>
      <c r="L256" s="363"/>
    </row>
    <row r="257" spans="2:14" ht="18" customHeight="1" x14ac:dyDescent="0.2">
      <c r="B257" s="130"/>
      <c r="C257" s="131"/>
      <c r="D257" s="72"/>
      <c r="E257" s="131"/>
      <c r="F257" s="131"/>
      <c r="G257" s="131"/>
      <c r="H257" s="131"/>
      <c r="I257" s="131"/>
      <c r="J257" s="131"/>
      <c r="K257" s="131"/>
      <c r="L257" s="363"/>
    </row>
    <row r="258" spans="2:14" ht="18" customHeight="1" x14ac:dyDescent="0.2">
      <c r="B258" s="130"/>
      <c r="C258" s="131"/>
      <c r="D258" s="72"/>
      <c r="E258" s="131"/>
      <c r="F258" s="131"/>
      <c r="G258" s="131"/>
      <c r="H258" s="131"/>
      <c r="I258" s="131"/>
      <c r="J258" s="131"/>
      <c r="K258" s="131"/>
      <c r="L258" s="363"/>
    </row>
    <row r="259" spans="2:14" ht="18" customHeight="1" x14ac:dyDescent="0.2">
      <c r="B259" s="130"/>
      <c r="C259" s="131"/>
      <c r="D259" s="72"/>
      <c r="E259" s="131"/>
      <c r="F259" s="131"/>
      <c r="G259" s="131"/>
      <c r="H259" s="131"/>
      <c r="I259" s="131"/>
      <c r="J259" s="131"/>
      <c r="K259" s="131"/>
      <c r="L259" s="363"/>
    </row>
    <row r="260" spans="2:14" ht="18" customHeight="1" x14ac:dyDescent="0.2">
      <c r="B260" s="130"/>
      <c r="C260" s="131"/>
      <c r="D260" s="72"/>
      <c r="E260" s="131"/>
      <c r="F260" s="131"/>
      <c r="G260" s="131"/>
      <c r="H260" s="131"/>
      <c r="I260" s="131"/>
      <c r="J260" s="131"/>
      <c r="K260" s="131"/>
      <c r="L260" s="179"/>
    </row>
    <row r="261" spans="2:14" ht="18" customHeight="1" x14ac:dyDescent="0.2">
      <c r="B261" s="130"/>
      <c r="C261" s="188"/>
      <c r="D261" s="72"/>
      <c r="E261" s="131"/>
      <c r="F261" s="131"/>
      <c r="G261" s="131"/>
      <c r="H261" s="131"/>
      <c r="I261" s="131"/>
      <c r="J261" s="131"/>
      <c r="K261" s="131"/>
      <c r="L261" s="179"/>
    </row>
    <row r="262" spans="2:14" ht="18" customHeight="1" x14ac:dyDescent="0.2">
      <c r="B262" s="130"/>
      <c r="C262" s="131"/>
      <c r="D262" s="72"/>
      <c r="E262" s="131"/>
      <c r="F262" s="131"/>
      <c r="G262" s="131"/>
      <c r="H262" s="131"/>
      <c r="I262" s="131"/>
      <c r="J262" s="131"/>
      <c r="K262" s="131"/>
      <c r="L262" s="179"/>
    </row>
    <row r="263" spans="2:14" ht="18" customHeight="1" x14ac:dyDescent="0.2">
      <c r="B263" s="130"/>
      <c r="C263" s="131"/>
      <c r="D263" s="72"/>
      <c r="E263" s="131"/>
      <c r="F263" s="131"/>
      <c r="G263" s="131"/>
      <c r="H263" s="131"/>
      <c r="I263" s="131"/>
      <c r="J263" s="131"/>
      <c r="K263" s="131"/>
      <c r="L263" s="179"/>
    </row>
    <row r="264" spans="2:14" ht="18" customHeight="1" x14ac:dyDescent="0.2">
      <c r="B264" s="130"/>
      <c r="C264" s="131"/>
      <c r="D264" s="72"/>
      <c r="E264" s="131"/>
      <c r="F264" s="131"/>
      <c r="G264" s="131"/>
      <c r="H264" s="131"/>
      <c r="I264" s="131"/>
      <c r="J264" s="131"/>
      <c r="K264" s="131"/>
      <c r="L264" s="179"/>
    </row>
    <row r="265" spans="2:14" ht="18" customHeight="1" x14ac:dyDescent="0.2">
      <c r="B265" s="130"/>
      <c r="C265" s="131"/>
      <c r="D265" s="72"/>
      <c r="E265" s="131"/>
      <c r="F265" s="131"/>
      <c r="G265" s="131"/>
      <c r="H265" s="131"/>
      <c r="I265" s="131"/>
      <c r="J265" s="131"/>
      <c r="K265" s="131"/>
      <c r="L265" s="179"/>
    </row>
    <row r="266" spans="2:14" s="78" customFormat="1" ht="4.5" customHeight="1" x14ac:dyDescent="0.2">
      <c r="B266" s="102"/>
      <c r="C266" s="97"/>
      <c r="D266" s="97"/>
      <c r="E266" s="97"/>
      <c r="F266" s="97"/>
      <c r="G266" s="97"/>
      <c r="H266" s="97"/>
      <c r="I266" s="97"/>
      <c r="J266" s="97"/>
      <c r="K266" s="97"/>
      <c r="L266" s="101"/>
    </row>
    <row r="267" spans="2:14" s="78" customFormat="1" ht="4.5" customHeight="1" x14ac:dyDescent="0.2">
      <c r="B267" s="106"/>
      <c r="C267" s="106"/>
      <c r="D267" s="106"/>
      <c r="E267" s="106"/>
      <c r="F267" s="106"/>
      <c r="G267" s="106"/>
      <c r="H267" s="106"/>
      <c r="I267" s="106"/>
      <c r="J267" s="106"/>
      <c r="K267" s="106"/>
      <c r="L267" s="106"/>
    </row>
    <row r="268" spans="2:14" s="78" customFormat="1" ht="4.5" customHeight="1" x14ac:dyDescent="0.2">
      <c r="B268" s="97"/>
      <c r="C268" s="97"/>
      <c r="D268" s="97"/>
      <c r="E268" s="97"/>
      <c r="F268" s="97"/>
      <c r="G268" s="97"/>
      <c r="H268" s="97"/>
      <c r="I268" s="97"/>
      <c r="J268" s="97"/>
      <c r="K268" s="97"/>
      <c r="L268" s="97"/>
    </row>
    <row r="269" spans="2:14" s="78" customFormat="1" ht="4.5" customHeight="1" x14ac:dyDescent="0.2">
      <c r="B269" s="384"/>
      <c r="C269" s="106"/>
      <c r="D269" s="106"/>
      <c r="E269" s="106"/>
      <c r="F269" s="106"/>
      <c r="G269" s="106"/>
      <c r="H269" s="106"/>
      <c r="I269" s="106"/>
      <c r="J269" s="106"/>
      <c r="K269" s="106"/>
      <c r="L269" s="382"/>
    </row>
    <row r="270" spans="2:14" ht="18" customHeight="1" x14ac:dyDescent="0.2">
      <c r="B270" s="190"/>
      <c r="C270" s="216" t="s">
        <v>1140</v>
      </c>
      <c r="D270" s="72"/>
      <c r="E270" s="131"/>
      <c r="F270" s="131"/>
      <c r="G270" s="131"/>
      <c r="H270" s="131"/>
      <c r="I270" s="131"/>
      <c r="J270" s="131"/>
      <c r="K270" s="131"/>
      <c r="L270" s="363"/>
    </row>
    <row r="271" spans="2:14" ht="33" customHeight="1" x14ac:dyDescent="0.2">
      <c r="B271" s="186"/>
      <c r="C271" s="492"/>
      <c r="D271" s="482"/>
      <c r="E271" s="482"/>
      <c r="F271" s="482"/>
      <c r="G271" s="482"/>
      <c r="H271" s="482"/>
      <c r="I271" s="482"/>
      <c r="J271" s="482"/>
      <c r="K271" s="483"/>
      <c r="L271" s="179"/>
      <c r="N271" s="402" t="str">
        <f>IF(AND(Activity3_Name&lt;&gt;"",output_relates_activity3=""),"Assign activity to the related output. / Priraďte aktivitu k výsledku.","")</f>
        <v/>
      </c>
    </row>
    <row r="272" spans="2:14" s="78" customFormat="1" ht="4.5" customHeight="1" x14ac:dyDescent="0.2">
      <c r="B272" s="102"/>
      <c r="C272" s="474"/>
      <c r="D272" s="475"/>
      <c r="E272" s="475"/>
      <c r="F272" s="475"/>
      <c r="G272" s="475"/>
      <c r="H272" s="97"/>
      <c r="I272" s="97"/>
      <c r="J272" s="97"/>
      <c r="K272" s="97"/>
      <c r="L272" s="101"/>
    </row>
    <row r="273" spans="2:14" ht="18" customHeight="1" x14ac:dyDescent="0.2">
      <c r="B273" s="190"/>
      <c r="C273" s="365" t="s">
        <v>1146</v>
      </c>
      <c r="D273" s="72"/>
      <c r="E273" s="131"/>
      <c r="F273" s="131"/>
      <c r="G273" s="131"/>
      <c r="H273" s="131"/>
      <c r="I273" s="131"/>
      <c r="J273" s="131"/>
      <c r="K273" s="131"/>
      <c r="L273" s="179"/>
    </row>
    <row r="274" spans="2:14" ht="33" customHeight="1" x14ac:dyDescent="0.2">
      <c r="B274" s="186"/>
      <c r="C274" s="492"/>
      <c r="D274" s="482"/>
      <c r="E274" s="482"/>
      <c r="F274" s="482"/>
      <c r="G274" s="482"/>
      <c r="H274" s="389"/>
      <c r="I274" s="390"/>
      <c r="J274" s="390"/>
      <c r="K274" s="390"/>
      <c r="L274" s="179"/>
      <c r="N274" s="402" t="str">
        <f>IF(AND(LEN(output_relates_activity3)&gt;0,COUNTIF($D$20:$D$29,output_relates_activity3)=0),"Such output is not defined in point 1.4 or was removed. Takýto výsledok nie je definovaný v bode 1.4 alebo bol odstránený","")</f>
        <v/>
      </c>
    </row>
    <row r="275" spans="2:14" s="78" customFormat="1" ht="4.5" customHeight="1" x14ac:dyDescent="0.2">
      <c r="B275" s="102"/>
      <c r="C275" s="97"/>
      <c r="D275" s="97"/>
      <c r="E275" s="97"/>
      <c r="F275" s="97"/>
      <c r="G275" s="97"/>
      <c r="H275" s="97"/>
      <c r="I275" s="97"/>
      <c r="J275" s="97"/>
      <c r="K275" s="97"/>
      <c r="L275" s="101"/>
    </row>
    <row r="276" spans="2:14" ht="18" customHeight="1" x14ac:dyDescent="0.2">
      <c r="B276" s="185"/>
      <c r="C276" s="364" t="s">
        <v>1148</v>
      </c>
      <c r="D276" s="116"/>
      <c r="E276" s="131"/>
      <c r="F276" s="131"/>
      <c r="G276" s="131"/>
      <c r="H276" s="131"/>
      <c r="I276" s="131"/>
      <c r="J276" s="131"/>
      <c r="K276" s="131"/>
      <c r="L276" s="179"/>
    </row>
    <row r="277" spans="2:14" s="78" customFormat="1" ht="4.5" customHeight="1" x14ac:dyDescent="0.2">
      <c r="B277" s="102"/>
      <c r="C277" s="97"/>
      <c r="D277" s="97"/>
      <c r="E277" s="97"/>
      <c r="F277" s="97"/>
      <c r="G277" s="97"/>
      <c r="H277" s="97"/>
      <c r="I277" s="97"/>
      <c r="J277" s="97"/>
      <c r="K277" s="97"/>
      <c r="L277" s="101"/>
    </row>
    <row r="278" spans="2:14" ht="18" customHeight="1" x14ac:dyDescent="0.2">
      <c r="B278" s="130"/>
      <c r="C278" s="131"/>
      <c r="D278" s="72"/>
      <c r="E278" s="131"/>
      <c r="F278" s="131"/>
      <c r="G278" s="131"/>
      <c r="H278" s="131"/>
      <c r="I278" s="131"/>
      <c r="J278" s="131"/>
      <c r="K278" s="131"/>
      <c r="L278" s="179"/>
    </row>
    <row r="279" spans="2:14" ht="18" customHeight="1" x14ac:dyDescent="0.2">
      <c r="B279" s="130"/>
      <c r="C279" s="131"/>
      <c r="D279" s="72"/>
      <c r="E279" s="131"/>
      <c r="F279" s="131"/>
      <c r="G279" s="131"/>
      <c r="H279" s="131"/>
      <c r="I279" s="131"/>
      <c r="J279" s="131"/>
      <c r="K279" s="131"/>
      <c r="L279" s="179"/>
    </row>
    <row r="280" spans="2:14" ht="18" customHeight="1" x14ac:dyDescent="0.2">
      <c r="B280" s="130"/>
      <c r="C280" s="131"/>
      <c r="D280" s="72"/>
      <c r="E280" s="131"/>
      <c r="F280" s="131"/>
      <c r="G280" s="131"/>
      <c r="H280" s="131"/>
      <c r="I280" s="131"/>
      <c r="J280" s="131"/>
      <c r="K280" s="131"/>
      <c r="L280" s="363"/>
    </row>
    <row r="281" spans="2:14" ht="18" customHeight="1" x14ac:dyDescent="0.2">
      <c r="B281" s="130"/>
      <c r="C281" s="131"/>
      <c r="D281" s="72"/>
      <c r="E281" s="131"/>
      <c r="F281" s="131"/>
      <c r="G281" s="131"/>
      <c r="H281" s="131"/>
      <c r="I281" s="131"/>
      <c r="J281" s="131"/>
      <c r="K281" s="131"/>
      <c r="L281" s="363"/>
    </row>
    <row r="282" spans="2:14" ht="18" customHeight="1" x14ac:dyDescent="0.2">
      <c r="B282" s="130"/>
      <c r="C282" s="131"/>
      <c r="D282" s="72"/>
      <c r="E282" s="131"/>
      <c r="F282" s="131"/>
      <c r="G282" s="131"/>
      <c r="H282" s="131"/>
      <c r="I282" s="131"/>
      <c r="J282" s="131"/>
      <c r="K282" s="131"/>
      <c r="L282" s="363"/>
    </row>
    <row r="283" spans="2:14" ht="18" customHeight="1" x14ac:dyDescent="0.2">
      <c r="B283" s="130"/>
      <c r="C283" s="131"/>
      <c r="D283" s="72"/>
      <c r="E283" s="131"/>
      <c r="F283" s="131"/>
      <c r="G283" s="131"/>
      <c r="H283" s="131"/>
      <c r="I283" s="131"/>
      <c r="J283" s="131"/>
      <c r="K283" s="131"/>
      <c r="L283" s="363"/>
    </row>
    <row r="284" spans="2:14" ht="18" customHeight="1" x14ac:dyDescent="0.2">
      <c r="B284" s="130"/>
      <c r="C284" s="131"/>
      <c r="D284" s="72"/>
      <c r="E284" s="131"/>
      <c r="F284" s="131"/>
      <c r="G284" s="131"/>
      <c r="H284" s="131"/>
      <c r="I284" s="131"/>
      <c r="J284" s="131"/>
      <c r="K284" s="131"/>
      <c r="L284" s="363"/>
    </row>
    <row r="285" spans="2:14" ht="18" customHeight="1" x14ac:dyDescent="0.2">
      <c r="B285" s="130"/>
      <c r="C285" s="131"/>
      <c r="D285" s="72"/>
      <c r="E285" s="131"/>
      <c r="F285" s="131"/>
      <c r="G285" s="131"/>
      <c r="H285" s="131"/>
      <c r="I285" s="131"/>
      <c r="J285" s="131"/>
      <c r="K285" s="131"/>
      <c r="L285" s="363"/>
    </row>
    <row r="286" spans="2:14" ht="18" customHeight="1" x14ac:dyDescent="0.2">
      <c r="B286" s="130"/>
      <c r="C286" s="131"/>
      <c r="D286" s="72"/>
      <c r="E286" s="131"/>
      <c r="F286" s="131"/>
      <c r="G286" s="131"/>
      <c r="H286" s="131"/>
      <c r="I286" s="131"/>
      <c r="J286" s="131"/>
      <c r="K286" s="131"/>
      <c r="L286" s="363"/>
    </row>
    <row r="287" spans="2:14" ht="18" customHeight="1" x14ac:dyDescent="0.2">
      <c r="B287" s="130"/>
      <c r="C287" s="131"/>
      <c r="D287" s="72"/>
      <c r="E287" s="131"/>
      <c r="F287" s="131"/>
      <c r="G287" s="131"/>
      <c r="H287" s="131"/>
      <c r="I287" s="131"/>
      <c r="J287" s="131"/>
      <c r="K287" s="131"/>
      <c r="L287" s="363"/>
    </row>
    <row r="288" spans="2:14" ht="18" customHeight="1" x14ac:dyDescent="0.2">
      <c r="B288" s="130"/>
      <c r="C288" s="131"/>
      <c r="D288" s="72"/>
      <c r="E288" s="131"/>
      <c r="F288" s="131"/>
      <c r="G288" s="131"/>
      <c r="H288" s="131"/>
      <c r="I288" s="131"/>
      <c r="J288" s="131"/>
      <c r="K288" s="131"/>
      <c r="L288" s="363"/>
    </row>
    <row r="289" spans="2:14" ht="18" customHeight="1" x14ac:dyDescent="0.2">
      <c r="B289" s="130"/>
      <c r="C289" s="131"/>
      <c r="D289" s="72"/>
      <c r="E289" s="131"/>
      <c r="F289" s="131"/>
      <c r="G289" s="131"/>
      <c r="H289" s="131"/>
      <c r="I289" s="131"/>
      <c r="J289" s="131"/>
      <c r="K289" s="131"/>
      <c r="L289" s="363"/>
    </row>
    <row r="290" spans="2:14" ht="18" customHeight="1" x14ac:dyDescent="0.2">
      <c r="B290" s="130"/>
      <c r="C290" s="188"/>
      <c r="D290" s="72"/>
      <c r="E290" s="131"/>
      <c r="F290" s="131"/>
      <c r="G290" s="131"/>
      <c r="H290" s="131"/>
      <c r="I290" s="131"/>
      <c r="J290" s="131"/>
      <c r="K290" s="131"/>
      <c r="L290" s="179"/>
    </row>
    <row r="291" spans="2:14" ht="18" customHeight="1" x14ac:dyDescent="0.2">
      <c r="B291" s="130"/>
      <c r="C291" s="131"/>
      <c r="D291" s="72"/>
      <c r="E291" s="131"/>
      <c r="F291" s="131"/>
      <c r="G291" s="131"/>
      <c r="H291" s="131"/>
      <c r="I291" s="131"/>
      <c r="J291" s="131"/>
      <c r="K291" s="131"/>
      <c r="L291" s="179"/>
    </row>
    <row r="292" spans="2:14" ht="18" customHeight="1" x14ac:dyDescent="0.2">
      <c r="B292" s="130"/>
      <c r="C292" s="131"/>
      <c r="D292" s="72"/>
      <c r="E292" s="131"/>
      <c r="F292" s="131"/>
      <c r="G292" s="131"/>
      <c r="H292" s="131"/>
      <c r="I292" s="131"/>
      <c r="J292" s="131"/>
      <c r="K292" s="131"/>
      <c r="L292" s="179"/>
    </row>
    <row r="293" spans="2:14" ht="18" customHeight="1" x14ac:dyDescent="0.2">
      <c r="B293" s="130"/>
      <c r="C293" s="131"/>
      <c r="D293" s="72"/>
      <c r="E293" s="131"/>
      <c r="F293" s="131"/>
      <c r="G293" s="131"/>
      <c r="H293" s="131"/>
      <c r="I293" s="131"/>
      <c r="J293" s="131"/>
      <c r="K293" s="131"/>
      <c r="L293" s="179"/>
    </row>
    <row r="294" spans="2:14" ht="18" customHeight="1" x14ac:dyDescent="0.2">
      <c r="B294" s="130"/>
      <c r="C294" s="131"/>
      <c r="D294" s="72"/>
      <c r="E294" s="131"/>
      <c r="F294" s="131"/>
      <c r="G294" s="131"/>
      <c r="H294" s="131"/>
      <c r="I294" s="131"/>
      <c r="J294" s="131"/>
      <c r="K294" s="131"/>
      <c r="L294" s="179"/>
    </row>
    <row r="295" spans="2:14" s="78" customFormat="1" ht="4.5" customHeight="1" x14ac:dyDescent="0.2">
      <c r="B295" s="102"/>
      <c r="C295" s="97"/>
      <c r="D295" s="97"/>
      <c r="E295" s="97"/>
      <c r="F295" s="97"/>
      <c r="G295" s="97"/>
      <c r="H295" s="97"/>
      <c r="I295" s="97"/>
      <c r="J295" s="97"/>
      <c r="K295" s="97"/>
      <c r="L295" s="101"/>
    </row>
    <row r="296" spans="2:14" ht="18" customHeight="1" x14ac:dyDescent="0.2">
      <c r="B296" s="190"/>
      <c r="C296" s="365" t="s">
        <v>1141</v>
      </c>
      <c r="D296" s="72"/>
      <c r="E296" s="131"/>
      <c r="F296" s="131"/>
      <c r="G296" s="131"/>
      <c r="H296" s="131"/>
      <c r="I296" s="131"/>
      <c r="J296" s="131"/>
      <c r="K296" s="131"/>
      <c r="L296" s="179"/>
    </row>
    <row r="297" spans="2:14" ht="33" customHeight="1" x14ac:dyDescent="0.2">
      <c r="B297" s="186"/>
      <c r="C297" s="492"/>
      <c r="D297" s="482"/>
      <c r="E297" s="482"/>
      <c r="F297" s="482"/>
      <c r="G297" s="482"/>
      <c r="H297" s="482"/>
      <c r="I297" s="482"/>
      <c r="J297" s="482"/>
      <c r="K297" s="483"/>
      <c r="L297" s="179"/>
      <c r="N297" s="402" t="str">
        <f>IF(AND(Activity4_Name&lt;&gt;"",output_relates_activity4=""),"Assign activity to the related output. / Priraďte aktivitu k výsledku.","")</f>
        <v/>
      </c>
    </row>
    <row r="298" spans="2:14" s="78" customFormat="1" ht="4.5" customHeight="1" x14ac:dyDescent="0.2">
      <c r="B298" s="102"/>
      <c r="C298" s="97"/>
      <c r="D298" s="97"/>
      <c r="E298" s="97"/>
      <c r="F298" s="97"/>
      <c r="G298" s="97"/>
      <c r="H298" s="97"/>
      <c r="I298" s="97"/>
      <c r="J298" s="97"/>
      <c r="K298" s="97"/>
      <c r="L298" s="101"/>
    </row>
    <row r="299" spans="2:14" ht="18" customHeight="1" x14ac:dyDescent="0.2">
      <c r="B299" s="190"/>
      <c r="C299" s="365" t="s">
        <v>1146</v>
      </c>
      <c r="D299" s="72"/>
      <c r="E299" s="131"/>
      <c r="F299" s="131"/>
      <c r="G299" s="131"/>
      <c r="H299" s="131"/>
      <c r="I299" s="131"/>
      <c r="J299" s="131"/>
      <c r="K299" s="131"/>
      <c r="L299" s="179"/>
    </row>
    <row r="300" spans="2:14" ht="33" customHeight="1" x14ac:dyDescent="0.2">
      <c r="B300" s="186"/>
      <c r="C300" s="492"/>
      <c r="D300" s="482"/>
      <c r="E300" s="482"/>
      <c r="F300" s="482"/>
      <c r="G300" s="482"/>
      <c r="H300" s="389"/>
      <c r="I300" s="390"/>
      <c r="J300" s="390"/>
      <c r="K300" s="390"/>
      <c r="L300" s="179"/>
      <c r="N300" s="402" t="str">
        <f>IF(AND(LEN(output_relates_activity4)&gt;0,COUNTIF($D$20:$D$29,output_relates_activity4)=0),"Such output is not defined in point 1.4 or was removed. Takýto výsledok nie je definovaný v bode 1.4 alebo bol odstránený","")</f>
        <v/>
      </c>
    </row>
    <row r="301" spans="2:14" s="78" customFormat="1" ht="4.5" customHeight="1" x14ac:dyDescent="0.2">
      <c r="B301" s="102"/>
      <c r="C301" s="97"/>
      <c r="D301" s="97"/>
      <c r="E301" s="97"/>
      <c r="F301" s="97"/>
      <c r="G301" s="97"/>
      <c r="H301" s="97"/>
      <c r="I301" s="97"/>
      <c r="J301" s="97"/>
      <c r="K301" s="97"/>
      <c r="L301" s="101"/>
    </row>
    <row r="302" spans="2:14" ht="18" customHeight="1" x14ac:dyDescent="0.2">
      <c r="B302" s="185"/>
      <c r="C302" s="364" t="s">
        <v>1149</v>
      </c>
      <c r="D302" s="116"/>
      <c r="E302" s="131"/>
      <c r="F302" s="131"/>
      <c r="G302" s="131"/>
      <c r="H302" s="131"/>
      <c r="I302" s="131"/>
      <c r="J302" s="131"/>
      <c r="K302" s="131"/>
      <c r="L302" s="179"/>
    </row>
    <row r="303" spans="2:14" s="78" customFormat="1" ht="4.5" customHeight="1" x14ac:dyDescent="0.2">
      <c r="B303" s="102"/>
      <c r="C303" s="97"/>
      <c r="D303" s="97"/>
      <c r="E303" s="97"/>
      <c r="F303" s="97"/>
      <c r="G303" s="97"/>
      <c r="H303" s="97"/>
      <c r="I303" s="97"/>
      <c r="J303" s="97"/>
      <c r="K303" s="97"/>
      <c r="L303" s="101"/>
    </row>
    <row r="304" spans="2:14" ht="18" customHeight="1" x14ac:dyDescent="0.2">
      <c r="B304" s="130"/>
      <c r="C304" s="131"/>
      <c r="D304" s="72"/>
      <c r="E304" s="131"/>
      <c r="F304" s="131"/>
      <c r="G304" s="131"/>
      <c r="H304" s="131"/>
      <c r="I304" s="131"/>
      <c r="J304" s="131"/>
      <c r="K304" s="131"/>
      <c r="L304" s="179"/>
    </row>
    <row r="305" spans="2:12" ht="18" customHeight="1" x14ac:dyDescent="0.2">
      <c r="B305" s="130"/>
      <c r="C305" s="131"/>
      <c r="D305" s="72"/>
      <c r="E305" s="131"/>
      <c r="F305" s="131"/>
      <c r="G305" s="131"/>
      <c r="H305" s="131"/>
      <c r="I305" s="131"/>
      <c r="J305" s="131"/>
      <c r="K305" s="131"/>
      <c r="L305" s="179"/>
    </row>
    <row r="306" spans="2:12" ht="18" customHeight="1" x14ac:dyDescent="0.2">
      <c r="B306" s="130"/>
      <c r="C306" s="131"/>
      <c r="D306" s="72"/>
      <c r="E306" s="131"/>
      <c r="F306" s="131"/>
      <c r="G306" s="131"/>
      <c r="H306" s="131"/>
      <c r="I306" s="131"/>
      <c r="J306" s="131"/>
      <c r="K306" s="131"/>
      <c r="L306" s="363"/>
    </row>
    <row r="307" spans="2:12" ht="18" customHeight="1" x14ac:dyDescent="0.2">
      <c r="B307" s="130"/>
      <c r="C307" s="131"/>
      <c r="D307" s="72"/>
      <c r="E307" s="131"/>
      <c r="F307" s="131"/>
      <c r="G307" s="131"/>
      <c r="H307" s="131"/>
      <c r="I307" s="131"/>
      <c r="J307" s="131"/>
      <c r="K307" s="131"/>
      <c r="L307" s="363"/>
    </row>
    <row r="308" spans="2:12" ht="18" customHeight="1" x14ac:dyDescent="0.2">
      <c r="B308" s="130"/>
      <c r="C308" s="131"/>
      <c r="D308" s="72"/>
      <c r="E308" s="131"/>
      <c r="F308" s="131"/>
      <c r="G308" s="131"/>
      <c r="H308" s="131"/>
      <c r="I308" s="131"/>
      <c r="J308" s="131"/>
      <c r="K308" s="131"/>
      <c r="L308" s="363"/>
    </row>
    <row r="309" spans="2:12" ht="18" customHeight="1" x14ac:dyDescent="0.2">
      <c r="B309" s="130"/>
      <c r="C309" s="131"/>
      <c r="D309" s="72"/>
      <c r="E309" s="131"/>
      <c r="F309" s="131"/>
      <c r="G309" s="131"/>
      <c r="H309" s="131"/>
      <c r="I309" s="131"/>
      <c r="J309" s="131"/>
      <c r="K309" s="131"/>
      <c r="L309" s="363"/>
    </row>
    <row r="310" spans="2:12" ht="18" customHeight="1" x14ac:dyDescent="0.2">
      <c r="B310" s="130"/>
      <c r="C310" s="131"/>
      <c r="D310" s="72"/>
      <c r="E310" s="131"/>
      <c r="F310" s="131"/>
      <c r="G310" s="131"/>
      <c r="H310" s="131"/>
      <c r="I310" s="131"/>
      <c r="J310" s="131"/>
      <c r="K310" s="131"/>
      <c r="L310" s="363"/>
    </row>
    <row r="311" spans="2:12" ht="18" customHeight="1" x14ac:dyDescent="0.2">
      <c r="B311" s="130"/>
      <c r="C311" s="131"/>
      <c r="D311" s="72"/>
      <c r="E311" s="131"/>
      <c r="F311" s="131"/>
      <c r="G311" s="131"/>
      <c r="H311" s="131"/>
      <c r="I311" s="131"/>
      <c r="J311" s="131"/>
      <c r="K311" s="131"/>
      <c r="L311" s="363"/>
    </row>
    <row r="312" spans="2:12" ht="18" customHeight="1" x14ac:dyDescent="0.2">
      <c r="B312" s="130"/>
      <c r="C312" s="131"/>
      <c r="D312" s="72"/>
      <c r="E312" s="131"/>
      <c r="F312" s="131"/>
      <c r="G312" s="131"/>
      <c r="H312" s="131"/>
      <c r="I312" s="131"/>
      <c r="J312" s="131"/>
      <c r="K312" s="131"/>
      <c r="L312" s="363"/>
    </row>
    <row r="313" spans="2:12" ht="18" customHeight="1" x14ac:dyDescent="0.2">
      <c r="B313" s="130"/>
      <c r="C313" s="131"/>
      <c r="D313" s="72"/>
      <c r="E313" s="131"/>
      <c r="F313" s="131"/>
      <c r="G313" s="131"/>
      <c r="H313" s="131"/>
      <c r="I313" s="131"/>
      <c r="J313" s="131"/>
      <c r="K313" s="131"/>
      <c r="L313" s="363"/>
    </row>
    <row r="314" spans="2:12" ht="18" customHeight="1" x14ac:dyDescent="0.2">
      <c r="B314" s="130"/>
      <c r="C314" s="131"/>
      <c r="D314" s="72"/>
      <c r="E314" s="131"/>
      <c r="F314" s="131"/>
      <c r="G314" s="131"/>
      <c r="H314" s="131"/>
      <c r="I314" s="131"/>
      <c r="J314" s="131"/>
      <c r="K314" s="131"/>
      <c r="L314" s="363"/>
    </row>
    <row r="315" spans="2:12" ht="18" customHeight="1" x14ac:dyDescent="0.2">
      <c r="B315" s="130"/>
      <c r="C315" s="131"/>
      <c r="D315" s="72"/>
      <c r="E315" s="131"/>
      <c r="F315" s="131"/>
      <c r="G315" s="131"/>
      <c r="H315" s="131"/>
      <c r="I315" s="131"/>
      <c r="J315" s="131"/>
      <c r="K315" s="131"/>
      <c r="L315" s="363"/>
    </row>
    <row r="316" spans="2:12" ht="18" customHeight="1" x14ac:dyDescent="0.2">
      <c r="B316" s="130"/>
      <c r="C316" s="188"/>
      <c r="D316" s="72"/>
      <c r="E316" s="131"/>
      <c r="F316" s="131"/>
      <c r="G316" s="131"/>
      <c r="H316" s="131"/>
      <c r="I316" s="131"/>
      <c r="J316" s="131"/>
      <c r="K316" s="131"/>
      <c r="L316" s="179"/>
    </row>
    <row r="317" spans="2:12" ht="18" customHeight="1" x14ac:dyDescent="0.2">
      <c r="B317" s="130"/>
      <c r="C317" s="131"/>
      <c r="D317" s="72"/>
      <c r="E317" s="131"/>
      <c r="F317" s="131"/>
      <c r="G317" s="131"/>
      <c r="H317" s="131"/>
      <c r="I317" s="131"/>
      <c r="J317" s="131"/>
      <c r="K317" s="131"/>
      <c r="L317" s="179"/>
    </row>
    <row r="318" spans="2:12" ht="18" customHeight="1" x14ac:dyDescent="0.2">
      <c r="B318" s="130"/>
      <c r="C318" s="131"/>
      <c r="D318" s="72"/>
      <c r="E318" s="131"/>
      <c r="F318" s="131"/>
      <c r="G318" s="131"/>
      <c r="H318" s="131"/>
      <c r="I318" s="131"/>
      <c r="J318" s="131"/>
      <c r="K318" s="131"/>
      <c r="L318" s="179"/>
    </row>
    <row r="319" spans="2:12" ht="18" customHeight="1" x14ac:dyDescent="0.2">
      <c r="B319" s="130"/>
      <c r="C319" s="131"/>
      <c r="D319" s="72"/>
      <c r="E319" s="131"/>
      <c r="F319" s="131"/>
      <c r="G319" s="131"/>
      <c r="H319" s="131"/>
      <c r="I319" s="131"/>
      <c r="J319" s="131"/>
      <c r="K319" s="131"/>
      <c r="L319" s="179"/>
    </row>
    <row r="320" spans="2:12" ht="18" customHeight="1" x14ac:dyDescent="0.2">
      <c r="B320" s="130"/>
      <c r="C320" s="131"/>
      <c r="D320" s="72"/>
      <c r="E320" s="131"/>
      <c r="F320" s="131"/>
      <c r="G320" s="131"/>
      <c r="H320" s="131"/>
      <c r="I320" s="131"/>
      <c r="J320" s="131"/>
      <c r="K320" s="131"/>
      <c r="L320" s="179"/>
    </row>
    <row r="321" spans="2:14" s="78" customFormat="1" ht="4.5" customHeight="1" x14ac:dyDescent="0.2">
      <c r="B321" s="102"/>
      <c r="C321" s="97"/>
      <c r="D321" s="97"/>
      <c r="E321" s="97"/>
      <c r="F321" s="97"/>
      <c r="G321" s="97"/>
      <c r="H321" s="97"/>
      <c r="I321" s="97"/>
      <c r="J321" s="97"/>
      <c r="K321" s="97"/>
      <c r="L321" s="101"/>
    </row>
    <row r="322" spans="2:14" s="78" customFormat="1" ht="4.5" customHeight="1" x14ac:dyDescent="0.2">
      <c r="B322" s="103"/>
      <c r="C322" s="104"/>
      <c r="D322" s="104"/>
      <c r="E322" s="104"/>
      <c r="F322" s="104"/>
      <c r="G322" s="104"/>
      <c r="H322" s="104"/>
      <c r="I322" s="104"/>
      <c r="J322" s="104"/>
      <c r="K322" s="104"/>
      <c r="L322" s="105"/>
    </row>
    <row r="323" spans="2:14" s="78" customFormat="1" ht="4.5" customHeight="1" x14ac:dyDescent="0.2">
      <c r="B323" s="106"/>
      <c r="C323" s="106"/>
      <c r="D323" s="106"/>
      <c r="E323" s="106"/>
      <c r="F323" s="106"/>
      <c r="G323" s="106"/>
      <c r="H323" s="106"/>
      <c r="I323" s="106"/>
      <c r="J323" s="106"/>
      <c r="K323" s="106"/>
      <c r="L323" s="106"/>
    </row>
    <row r="324" spans="2:14" s="78" customFormat="1" ht="4.5" customHeight="1" x14ac:dyDescent="0.2">
      <c r="B324" s="104"/>
      <c r="C324" s="104"/>
      <c r="D324" s="104"/>
      <c r="E324" s="104"/>
      <c r="F324" s="104"/>
      <c r="G324" s="104"/>
      <c r="H324" s="104"/>
      <c r="I324" s="104"/>
      <c r="J324" s="104"/>
      <c r="K324" s="104"/>
      <c r="L324" s="104"/>
    </row>
    <row r="325" spans="2:14" ht="18" customHeight="1" x14ac:dyDescent="0.2">
      <c r="B325" s="193"/>
      <c r="C325" s="366" t="s">
        <v>1142</v>
      </c>
      <c r="D325" s="171"/>
      <c r="E325" s="93"/>
      <c r="F325" s="93"/>
      <c r="G325" s="93"/>
      <c r="H325" s="93"/>
      <c r="I325" s="93"/>
      <c r="J325" s="93"/>
      <c r="K325" s="93"/>
      <c r="L325" s="173"/>
    </row>
    <row r="326" spans="2:14" ht="33" customHeight="1" x14ac:dyDescent="0.2">
      <c r="B326" s="186"/>
      <c r="C326" s="492"/>
      <c r="D326" s="482"/>
      <c r="E326" s="482"/>
      <c r="F326" s="482"/>
      <c r="G326" s="482"/>
      <c r="H326" s="482"/>
      <c r="I326" s="482"/>
      <c r="J326" s="482"/>
      <c r="K326" s="483"/>
      <c r="L326" s="179"/>
      <c r="N326" s="402" t="str">
        <f>IF(AND(Activity5_Name&lt;&gt;"",output_relates_activity5=""),"Assign activity to the related output. / Priraďte aktivitu k výsledku.","")</f>
        <v/>
      </c>
    </row>
    <row r="327" spans="2:14" s="78" customFormat="1" ht="4.5" customHeight="1" x14ac:dyDescent="0.2">
      <c r="B327" s="102"/>
      <c r="C327" s="97"/>
      <c r="D327" s="97"/>
      <c r="E327" s="97"/>
      <c r="F327" s="97"/>
      <c r="G327" s="97"/>
      <c r="H327" s="97"/>
      <c r="I327" s="97"/>
      <c r="J327" s="97"/>
      <c r="K327" s="97"/>
      <c r="L327" s="101"/>
    </row>
    <row r="328" spans="2:14" ht="18" customHeight="1" x14ac:dyDescent="0.2">
      <c r="B328" s="190"/>
      <c r="C328" s="365" t="s">
        <v>1146</v>
      </c>
      <c r="D328" s="72"/>
      <c r="E328" s="131"/>
      <c r="F328" s="131"/>
      <c r="G328" s="131"/>
      <c r="H328" s="131"/>
      <c r="I328" s="131"/>
      <c r="J328" s="131"/>
      <c r="K328" s="131"/>
      <c r="L328" s="179"/>
    </row>
    <row r="329" spans="2:14" ht="33" customHeight="1" x14ac:dyDescent="0.2">
      <c r="B329" s="186"/>
      <c r="C329" s="492"/>
      <c r="D329" s="482"/>
      <c r="E329" s="482"/>
      <c r="F329" s="482"/>
      <c r="G329" s="482"/>
      <c r="H329" s="389"/>
      <c r="I329" s="390"/>
      <c r="J329" s="390"/>
      <c r="K329" s="390"/>
      <c r="L329" s="179"/>
      <c r="N329" s="402" t="str">
        <f>IF(AND(LEN(output_relates_activity5)&gt;0,COUNTIF($D$20:$D$29,output_relates_activity5)=0),"Such output is not defined in point 1.4 or was removed. Takýto výsledok nie je definovaný v bode 1.4 alebo bol odstránený","")</f>
        <v/>
      </c>
    </row>
    <row r="330" spans="2:14" s="78" customFormat="1" ht="4.5" customHeight="1" x14ac:dyDescent="0.2">
      <c r="B330" s="102"/>
      <c r="C330" s="97"/>
      <c r="D330" s="97"/>
      <c r="E330" s="97"/>
      <c r="F330" s="97"/>
      <c r="G330" s="97"/>
      <c r="H330" s="97"/>
      <c r="I330" s="97"/>
      <c r="J330" s="97"/>
      <c r="K330" s="97"/>
      <c r="L330" s="101"/>
    </row>
    <row r="331" spans="2:14" ht="18" customHeight="1" x14ac:dyDescent="0.2">
      <c r="B331" s="185"/>
      <c r="C331" s="364" t="s">
        <v>1150</v>
      </c>
      <c r="D331" s="116"/>
      <c r="E331" s="131"/>
      <c r="F331" s="131"/>
      <c r="G331" s="131"/>
      <c r="H331" s="131"/>
      <c r="I331" s="131"/>
      <c r="J331" s="131"/>
      <c r="K331" s="131"/>
      <c r="L331" s="179"/>
    </row>
    <row r="332" spans="2:14" s="78" customFormat="1" ht="4.5" customHeight="1" x14ac:dyDescent="0.2">
      <c r="B332" s="102"/>
      <c r="C332" s="97"/>
      <c r="D332" s="97"/>
      <c r="E332" s="97"/>
      <c r="F332" s="97"/>
      <c r="G332" s="97"/>
      <c r="H332" s="97"/>
      <c r="I332" s="97"/>
      <c r="J332" s="97"/>
      <c r="K332" s="97"/>
      <c r="L332" s="101"/>
    </row>
    <row r="333" spans="2:14" ht="18" customHeight="1" x14ac:dyDescent="0.2">
      <c r="B333" s="130"/>
      <c r="C333" s="131"/>
      <c r="D333" s="72"/>
      <c r="E333" s="131"/>
      <c r="F333" s="131"/>
      <c r="G333" s="131"/>
      <c r="H333" s="131"/>
      <c r="I333" s="131"/>
      <c r="J333" s="131"/>
      <c r="K333" s="131"/>
      <c r="L333" s="179"/>
    </row>
    <row r="334" spans="2:14" ht="18" customHeight="1" x14ac:dyDescent="0.2">
      <c r="B334" s="130"/>
      <c r="C334" s="131"/>
      <c r="D334" s="72"/>
      <c r="E334" s="131"/>
      <c r="F334" s="131"/>
      <c r="G334" s="131"/>
      <c r="H334" s="131"/>
      <c r="I334" s="131"/>
      <c r="J334" s="131"/>
      <c r="K334" s="131"/>
      <c r="L334" s="179"/>
    </row>
    <row r="335" spans="2:14" ht="18" customHeight="1" x14ac:dyDescent="0.2">
      <c r="B335" s="130"/>
      <c r="C335" s="131"/>
      <c r="D335" s="72"/>
      <c r="E335" s="131"/>
      <c r="F335" s="131"/>
      <c r="G335" s="131"/>
      <c r="H335" s="131"/>
      <c r="I335" s="131"/>
      <c r="J335" s="131"/>
      <c r="K335" s="131"/>
      <c r="L335" s="179"/>
    </row>
    <row r="336" spans="2:14" ht="18" customHeight="1" x14ac:dyDescent="0.2">
      <c r="B336" s="130"/>
      <c r="C336" s="131"/>
      <c r="D336" s="72"/>
      <c r="E336" s="131"/>
      <c r="F336" s="131"/>
      <c r="G336" s="131"/>
      <c r="H336" s="131"/>
      <c r="I336" s="131"/>
      <c r="J336" s="131"/>
      <c r="K336" s="131"/>
      <c r="L336" s="363"/>
    </row>
    <row r="337" spans="2:14" ht="18" customHeight="1" x14ac:dyDescent="0.2">
      <c r="B337" s="130"/>
      <c r="C337" s="131"/>
      <c r="D337" s="72"/>
      <c r="E337" s="131"/>
      <c r="F337" s="131"/>
      <c r="G337" s="131"/>
      <c r="H337" s="131"/>
      <c r="I337" s="131"/>
      <c r="J337" s="131"/>
      <c r="K337" s="131"/>
      <c r="L337" s="363"/>
    </row>
    <row r="338" spans="2:14" ht="18" customHeight="1" x14ac:dyDescent="0.2">
      <c r="B338" s="130"/>
      <c r="C338" s="131"/>
      <c r="D338" s="72"/>
      <c r="E338" s="131"/>
      <c r="F338" s="131"/>
      <c r="G338" s="131"/>
      <c r="H338" s="131"/>
      <c r="I338" s="131"/>
      <c r="J338" s="131"/>
      <c r="K338" s="131"/>
      <c r="L338" s="363"/>
    </row>
    <row r="339" spans="2:14" ht="18" customHeight="1" x14ac:dyDescent="0.2">
      <c r="B339" s="130"/>
      <c r="C339" s="131"/>
      <c r="D339" s="72"/>
      <c r="E339" s="131"/>
      <c r="F339" s="131"/>
      <c r="G339" s="131"/>
      <c r="H339" s="131"/>
      <c r="I339" s="131"/>
      <c r="J339" s="131"/>
      <c r="K339" s="131"/>
      <c r="L339" s="363"/>
    </row>
    <row r="340" spans="2:14" ht="18" customHeight="1" x14ac:dyDescent="0.2">
      <c r="B340" s="130"/>
      <c r="C340" s="131"/>
      <c r="D340" s="72"/>
      <c r="E340" s="131"/>
      <c r="F340" s="131"/>
      <c r="G340" s="131"/>
      <c r="H340" s="131"/>
      <c r="I340" s="131"/>
      <c r="J340" s="131"/>
      <c r="K340" s="131"/>
      <c r="L340" s="363"/>
    </row>
    <row r="341" spans="2:14" ht="18" customHeight="1" x14ac:dyDescent="0.2">
      <c r="B341" s="130"/>
      <c r="C341" s="131"/>
      <c r="D341" s="72"/>
      <c r="E341" s="131"/>
      <c r="F341" s="131"/>
      <c r="G341" s="131"/>
      <c r="H341" s="131"/>
      <c r="I341" s="131"/>
      <c r="J341" s="131"/>
      <c r="K341" s="131"/>
      <c r="L341" s="363"/>
    </row>
    <row r="342" spans="2:14" ht="18" customHeight="1" x14ac:dyDescent="0.2">
      <c r="B342" s="130"/>
      <c r="C342" s="131"/>
      <c r="D342" s="72"/>
      <c r="E342" s="131"/>
      <c r="F342" s="131"/>
      <c r="G342" s="131"/>
      <c r="H342" s="131"/>
      <c r="I342" s="131"/>
      <c r="J342" s="131"/>
      <c r="K342" s="131"/>
      <c r="L342" s="363"/>
    </row>
    <row r="343" spans="2:14" ht="18" customHeight="1" x14ac:dyDescent="0.2">
      <c r="B343" s="130"/>
      <c r="C343" s="131"/>
      <c r="D343" s="72"/>
      <c r="E343" s="131"/>
      <c r="F343" s="131"/>
      <c r="G343" s="131"/>
      <c r="H343" s="131"/>
      <c r="I343" s="131"/>
      <c r="J343" s="131"/>
      <c r="K343" s="131"/>
      <c r="L343" s="363"/>
    </row>
    <row r="344" spans="2:14" ht="18" customHeight="1" x14ac:dyDescent="0.2">
      <c r="B344" s="130"/>
      <c r="C344" s="131"/>
      <c r="D344" s="72"/>
      <c r="E344" s="131"/>
      <c r="F344" s="131"/>
      <c r="G344" s="131"/>
      <c r="H344" s="131"/>
      <c r="I344" s="131"/>
      <c r="J344" s="131"/>
      <c r="K344" s="131"/>
      <c r="L344" s="363"/>
    </row>
    <row r="345" spans="2:14" ht="18" customHeight="1" x14ac:dyDescent="0.2">
      <c r="B345" s="130"/>
      <c r="C345" s="131"/>
      <c r="D345" s="72"/>
      <c r="E345" s="131"/>
      <c r="F345" s="131"/>
      <c r="G345" s="131"/>
      <c r="H345" s="131"/>
      <c r="I345" s="131"/>
      <c r="J345" s="131"/>
      <c r="K345" s="131"/>
      <c r="L345" s="363"/>
    </row>
    <row r="346" spans="2:14" ht="18" customHeight="1" x14ac:dyDescent="0.2">
      <c r="B346" s="130"/>
      <c r="C346" s="131"/>
      <c r="D346" s="72"/>
      <c r="E346" s="131"/>
      <c r="F346" s="131"/>
      <c r="G346" s="131"/>
      <c r="H346" s="131"/>
      <c r="I346" s="131"/>
      <c r="J346" s="131"/>
      <c r="K346" s="131"/>
      <c r="L346" s="179"/>
    </row>
    <row r="347" spans="2:14" ht="18" customHeight="1" x14ac:dyDescent="0.2">
      <c r="B347" s="130"/>
      <c r="C347" s="131"/>
      <c r="D347" s="72"/>
      <c r="E347" s="131"/>
      <c r="F347" s="131"/>
      <c r="G347" s="131"/>
      <c r="H347" s="131"/>
      <c r="I347" s="131"/>
      <c r="J347" s="131"/>
      <c r="K347" s="131"/>
      <c r="L347" s="179"/>
    </row>
    <row r="348" spans="2:14" ht="18" customHeight="1" x14ac:dyDescent="0.2">
      <c r="B348" s="130"/>
      <c r="C348" s="131"/>
      <c r="D348" s="72"/>
      <c r="E348" s="131"/>
      <c r="F348" s="131"/>
      <c r="G348" s="131"/>
      <c r="H348" s="131"/>
      <c r="I348" s="131"/>
      <c r="J348" s="131"/>
      <c r="K348" s="131"/>
      <c r="L348" s="179"/>
    </row>
    <row r="349" spans="2:14" ht="18" customHeight="1" x14ac:dyDescent="0.2">
      <c r="B349" s="130"/>
      <c r="C349" s="188"/>
      <c r="D349" s="72"/>
      <c r="E349" s="131"/>
      <c r="F349" s="131"/>
      <c r="G349" s="131"/>
      <c r="H349" s="131"/>
      <c r="I349" s="131"/>
      <c r="J349" s="131"/>
      <c r="K349" s="131"/>
      <c r="L349" s="179"/>
    </row>
    <row r="350" spans="2:14" s="78" customFormat="1" ht="4.5" customHeight="1" x14ac:dyDescent="0.2">
      <c r="B350" s="102"/>
      <c r="C350" s="97"/>
      <c r="D350" s="97"/>
      <c r="E350" s="97"/>
      <c r="F350" s="97"/>
      <c r="G350" s="97"/>
      <c r="H350" s="97"/>
      <c r="I350" s="97"/>
      <c r="J350" s="97"/>
      <c r="K350" s="97"/>
      <c r="L350" s="101"/>
    </row>
    <row r="351" spans="2:14" ht="18" customHeight="1" x14ac:dyDescent="0.2">
      <c r="B351" s="190"/>
      <c r="C351" s="365" t="s">
        <v>1143</v>
      </c>
      <c r="D351" s="72"/>
      <c r="E351" s="131"/>
      <c r="F351" s="131"/>
      <c r="G351" s="131"/>
      <c r="H351" s="131"/>
      <c r="I351" s="131"/>
      <c r="J351" s="131"/>
      <c r="K351" s="131"/>
      <c r="L351" s="179"/>
    </row>
    <row r="352" spans="2:14" ht="33" customHeight="1" x14ac:dyDescent="0.2">
      <c r="B352" s="186"/>
      <c r="C352" s="492"/>
      <c r="D352" s="482"/>
      <c r="E352" s="482"/>
      <c r="F352" s="482"/>
      <c r="G352" s="482"/>
      <c r="H352" s="482"/>
      <c r="I352" s="482"/>
      <c r="J352" s="482"/>
      <c r="K352" s="483"/>
      <c r="L352" s="179"/>
      <c r="N352" s="402" t="str">
        <f>IF(AND(Activity6_Name&lt;&gt;"",output_relates_activity6=""),"Assign activity to the related output. / Priraďte aktivitu k výsledku.","")</f>
        <v/>
      </c>
    </row>
    <row r="353" spans="2:14" s="78" customFormat="1" ht="4.5" customHeight="1" x14ac:dyDescent="0.2">
      <c r="B353" s="102"/>
      <c r="C353" s="97"/>
      <c r="D353" s="97"/>
      <c r="E353" s="97"/>
      <c r="F353" s="97"/>
      <c r="G353" s="97"/>
      <c r="H353" s="97"/>
      <c r="I353" s="97"/>
      <c r="J353" s="97"/>
      <c r="K353" s="97"/>
      <c r="L353" s="101"/>
    </row>
    <row r="354" spans="2:14" ht="18" customHeight="1" x14ac:dyDescent="0.2">
      <c r="B354" s="190"/>
      <c r="C354" s="365" t="s">
        <v>1146</v>
      </c>
      <c r="D354" s="72"/>
      <c r="E354" s="131"/>
      <c r="F354" s="131"/>
      <c r="G354" s="131"/>
      <c r="H354" s="131"/>
      <c r="I354" s="131"/>
      <c r="J354" s="131"/>
      <c r="K354" s="131"/>
      <c r="L354" s="179"/>
    </row>
    <row r="355" spans="2:14" ht="33" customHeight="1" x14ac:dyDescent="0.2">
      <c r="B355" s="186"/>
      <c r="C355" s="492"/>
      <c r="D355" s="482"/>
      <c r="E355" s="482"/>
      <c r="F355" s="482"/>
      <c r="G355" s="482"/>
      <c r="H355" s="389"/>
      <c r="I355" s="390"/>
      <c r="J355" s="390"/>
      <c r="K355" s="390"/>
      <c r="L355" s="179"/>
      <c r="N355" s="402" t="str">
        <f>IF(AND(LEN(output_relates_activity6)&gt;0,COUNTIF($D$20:$D$29,output_relates_activity6)=0),"Such output is not defined in point 1.4 or was removed. Takýto výsledok nie je definovaný v bode 1.4 alebo bol odstránený","")</f>
        <v/>
      </c>
    </row>
    <row r="356" spans="2:14" s="78" customFormat="1" ht="4.5" customHeight="1" x14ac:dyDescent="0.2">
      <c r="B356" s="102"/>
      <c r="C356" s="97"/>
      <c r="D356" s="97"/>
      <c r="E356" s="97"/>
      <c r="F356" s="97"/>
      <c r="G356" s="97"/>
      <c r="H356" s="97"/>
      <c r="I356" s="97"/>
      <c r="J356" s="97"/>
      <c r="K356" s="97"/>
      <c r="L356" s="101"/>
    </row>
    <row r="357" spans="2:14" ht="18" customHeight="1" x14ac:dyDescent="0.2">
      <c r="B357" s="185"/>
      <c r="C357" s="364" t="s">
        <v>1151</v>
      </c>
      <c r="D357" s="116"/>
      <c r="E357" s="131"/>
      <c r="F357" s="131"/>
      <c r="G357" s="131"/>
      <c r="H357" s="131"/>
      <c r="I357" s="131"/>
      <c r="J357" s="131"/>
      <c r="K357" s="131"/>
      <c r="L357" s="179"/>
    </row>
    <row r="358" spans="2:14" s="78" customFormat="1" ht="4.5" customHeight="1" x14ac:dyDescent="0.2">
      <c r="B358" s="102"/>
      <c r="C358" s="97"/>
      <c r="D358" s="97"/>
      <c r="E358" s="97"/>
      <c r="F358" s="97"/>
      <c r="G358" s="97"/>
      <c r="H358" s="97"/>
      <c r="I358" s="97"/>
      <c r="J358" s="97"/>
      <c r="K358" s="97"/>
      <c r="L358" s="101"/>
    </row>
    <row r="359" spans="2:14" ht="18" customHeight="1" x14ac:dyDescent="0.2">
      <c r="B359" s="130"/>
      <c r="C359" s="131"/>
      <c r="D359" s="72"/>
      <c r="E359" s="131"/>
      <c r="F359" s="131"/>
      <c r="G359" s="131"/>
      <c r="H359" s="131"/>
      <c r="I359" s="131"/>
      <c r="J359" s="131"/>
      <c r="K359" s="131"/>
      <c r="L359" s="179"/>
    </row>
    <row r="360" spans="2:14" ht="18" customHeight="1" x14ac:dyDescent="0.2">
      <c r="B360" s="130"/>
      <c r="C360" s="131"/>
      <c r="D360" s="72"/>
      <c r="E360" s="131"/>
      <c r="F360" s="131"/>
      <c r="G360" s="131"/>
      <c r="H360" s="131"/>
      <c r="I360" s="131"/>
      <c r="J360" s="131"/>
      <c r="K360" s="131"/>
      <c r="L360" s="179"/>
    </row>
    <row r="361" spans="2:14" ht="18" customHeight="1" x14ac:dyDescent="0.2">
      <c r="B361" s="130"/>
      <c r="C361" s="131"/>
      <c r="D361" s="72"/>
      <c r="E361" s="131"/>
      <c r="F361" s="131"/>
      <c r="G361" s="131"/>
      <c r="H361" s="131"/>
      <c r="I361" s="131"/>
      <c r="J361" s="131"/>
      <c r="K361" s="131"/>
      <c r="L361" s="363"/>
    </row>
    <row r="362" spans="2:14" ht="18" customHeight="1" x14ac:dyDescent="0.2">
      <c r="B362" s="130"/>
      <c r="C362" s="131"/>
      <c r="D362" s="72"/>
      <c r="E362" s="131"/>
      <c r="F362" s="131"/>
      <c r="G362" s="131"/>
      <c r="H362" s="131"/>
      <c r="I362" s="131"/>
      <c r="J362" s="131"/>
      <c r="K362" s="131"/>
      <c r="L362" s="363"/>
    </row>
    <row r="363" spans="2:14" ht="18" customHeight="1" x14ac:dyDescent="0.2">
      <c r="B363" s="130"/>
      <c r="C363" s="131"/>
      <c r="D363" s="72"/>
      <c r="E363" s="131"/>
      <c r="F363" s="131"/>
      <c r="G363" s="131"/>
      <c r="H363" s="131"/>
      <c r="I363" s="131"/>
      <c r="J363" s="131"/>
      <c r="K363" s="131"/>
      <c r="L363" s="363"/>
    </row>
    <row r="364" spans="2:14" ht="18" customHeight="1" x14ac:dyDescent="0.2">
      <c r="B364" s="130"/>
      <c r="C364" s="131"/>
      <c r="D364" s="72"/>
      <c r="E364" s="131"/>
      <c r="F364" s="131"/>
      <c r="G364" s="131"/>
      <c r="H364" s="131"/>
      <c r="I364" s="131"/>
      <c r="J364" s="131"/>
      <c r="K364" s="131"/>
      <c r="L364" s="363"/>
    </row>
    <row r="365" spans="2:14" ht="18" customHeight="1" x14ac:dyDescent="0.2">
      <c r="B365" s="130"/>
      <c r="C365" s="131"/>
      <c r="D365" s="72"/>
      <c r="E365" s="131"/>
      <c r="F365" s="131"/>
      <c r="G365" s="131"/>
      <c r="H365" s="131"/>
      <c r="I365" s="131"/>
      <c r="J365" s="131"/>
      <c r="K365" s="131"/>
      <c r="L365" s="363"/>
    </row>
    <row r="366" spans="2:14" ht="18" customHeight="1" x14ac:dyDescent="0.2">
      <c r="B366" s="130"/>
      <c r="C366" s="131"/>
      <c r="D366" s="72"/>
      <c r="E366" s="131"/>
      <c r="F366" s="131"/>
      <c r="G366" s="131"/>
      <c r="H366" s="131"/>
      <c r="I366" s="131"/>
      <c r="J366" s="131"/>
      <c r="K366" s="131"/>
      <c r="L366" s="363"/>
    </row>
    <row r="367" spans="2:14" ht="18" customHeight="1" x14ac:dyDescent="0.2">
      <c r="B367" s="130"/>
      <c r="C367" s="131"/>
      <c r="D367" s="72"/>
      <c r="E367" s="131"/>
      <c r="F367" s="131"/>
      <c r="G367" s="131"/>
      <c r="H367" s="131"/>
      <c r="I367" s="131"/>
      <c r="J367" s="131"/>
      <c r="K367" s="131"/>
      <c r="L367" s="363"/>
    </row>
    <row r="368" spans="2:14" ht="18" customHeight="1" x14ac:dyDescent="0.2">
      <c r="B368" s="130"/>
      <c r="C368" s="131"/>
      <c r="D368" s="72"/>
      <c r="E368" s="131"/>
      <c r="F368" s="131"/>
      <c r="G368" s="131"/>
      <c r="H368" s="131"/>
      <c r="I368" s="131"/>
      <c r="J368" s="131"/>
      <c r="K368" s="131"/>
      <c r="L368" s="363"/>
    </row>
    <row r="369" spans="2:14" ht="18" customHeight="1" x14ac:dyDescent="0.2">
      <c r="B369" s="130"/>
      <c r="C369" s="131"/>
      <c r="D369" s="72"/>
      <c r="E369" s="131"/>
      <c r="F369" s="131"/>
      <c r="G369" s="131"/>
      <c r="H369" s="131"/>
      <c r="I369" s="131"/>
      <c r="J369" s="131"/>
      <c r="K369" s="131"/>
      <c r="L369" s="363"/>
    </row>
    <row r="370" spans="2:14" ht="18" customHeight="1" x14ac:dyDescent="0.2">
      <c r="B370" s="130"/>
      <c r="C370" s="131"/>
      <c r="D370" s="72"/>
      <c r="E370" s="131"/>
      <c r="F370" s="131"/>
      <c r="G370" s="131"/>
      <c r="H370" s="131"/>
      <c r="I370" s="131"/>
      <c r="J370" s="131"/>
      <c r="K370" s="131"/>
      <c r="L370" s="363"/>
    </row>
    <row r="371" spans="2:14" ht="18" customHeight="1" x14ac:dyDescent="0.2">
      <c r="B371" s="130"/>
      <c r="C371" s="131"/>
      <c r="D371" s="72"/>
      <c r="E371" s="131"/>
      <c r="F371" s="131"/>
      <c r="G371" s="131"/>
      <c r="H371" s="131"/>
      <c r="I371" s="131"/>
      <c r="J371" s="131"/>
      <c r="K371" s="131"/>
      <c r="L371" s="179"/>
    </row>
    <row r="372" spans="2:14" ht="18" customHeight="1" x14ac:dyDescent="0.2">
      <c r="B372" s="130"/>
      <c r="C372" s="131"/>
      <c r="D372" s="72"/>
      <c r="E372" s="131"/>
      <c r="F372" s="131"/>
      <c r="G372" s="131"/>
      <c r="H372" s="131"/>
      <c r="I372" s="131"/>
      <c r="J372" s="131"/>
      <c r="K372" s="131"/>
      <c r="L372" s="179"/>
    </row>
    <row r="373" spans="2:14" ht="18" customHeight="1" x14ac:dyDescent="0.2">
      <c r="B373" s="130"/>
      <c r="C373" s="131"/>
      <c r="D373" s="72"/>
      <c r="E373" s="131"/>
      <c r="F373" s="131"/>
      <c r="G373" s="131"/>
      <c r="H373" s="131"/>
      <c r="I373" s="131"/>
      <c r="J373" s="131"/>
      <c r="K373" s="131"/>
      <c r="L373" s="179"/>
    </row>
    <row r="374" spans="2:14" ht="18" customHeight="1" x14ac:dyDescent="0.2">
      <c r="B374" s="130"/>
      <c r="C374" s="131"/>
      <c r="D374" s="72"/>
      <c r="E374" s="131"/>
      <c r="F374" s="131"/>
      <c r="G374" s="131"/>
      <c r="H374" s="131"/>
      <c r="I374" s="131"/>
      <c r="J374" s="131"/>
      <c r="K374" s="131"/>
      <c r="L374" s="179"/>
    </row>
    <row r="375" spans="2:14" ht="18" customHeight="1" x14ac:dyDescent="0.2">
      <c r="B375" s="130"/>
      <c r="C375" s="131"/>
      <c r="D375" s="72"/>
      <c r="E375" s="131"/>
      <c r="F375" s="131"/>
      <c r="G375" s="131"/>
      <c r="H375" s="131"/>
      <c r="I375" s="131"/>
      <c r="J375" s="131"/>
      <c r="K375" s="131"/>
      <c r="L375" s="179"/>
    </row>
    <row r="376" spans="2:14" s="78" customFormat="1" ht="4.5" customHeight="1" x14ac:dyDescent="0.2">
      <c r="B376" s="102"/>
      <c r="C376" s="97"/>
      <c r="D376" s="97"/>
      <c r="E376" s="97"/>
      <c r="F376" s="97"/>
      <c r="G376" s="97"/>
      <c r="H376" s="97"/>
      <c r="I376" s="97"/>
      <c r="J376" s="97"/>
      <c r="K376" s="97"/>
      <c r="L376" s="101"/>
    </row>
    <row r="377" spans="2:14" s="78" customFormat="1" ht="4.5" customHeight="1" x14ac:dyDescent="0.2">
      <c r="B377" s="106"/>
      <c r="C377" s="106"/>
      <c r="D377" s="106"/>
      <c r="E377" s="106"/>
      <c r="F377" s="106"/>
      <c r="G377" s="106"/>
      <c r="H377" s="106"/>
      <c r="I377" s="106"/>
      <c r="J377" s="106"/>
      <c r="K377" s="106"/>
      <c r="L377" s="106"/>
    </row>
    <row r="378" spans="2:14" customFormat="1" ht="4.5" customHeight="1" x14ac:dyDescent="0.2"/>
    <row r="379" spans="2:14" s="78" customFormat="1" ht="4.5" customHeight="1" x14ac:dyDescent="0.2">
      <c r="B379" s="384"/>
      <c r="C379" s="106"/>
      <c r="D379" s="106"/>
      <c r="E379" s="106"/>
      <c r="F379" s="106"/>
      <c r="G379" s="106"/>
      <c r="H379" s="106"/>
      <c r="I379" s="106"/>
      <c r="J379" s="106"/>
      <c r="K379" s="106"/>
      <c r="L379" s="382"/>
    </row>
    <row r="380" spans="2:14" ht="18" customHeight="1" x14ac:dyDescent="0.2">
      <c r="B380" s="190"/>
      <c r="C380" s="365" t="s">
        <v>1144</v>
      </c>
      <c r="D380" s="72"/>
      <c r="E380" s="131"/>
      <c r="F380" s="131"/>
      <c r="G380" s="131"/>
      <c r="H380" s="131"/>
      <c r="I380" s="131"/>
      <c r="J380" s="131"/>
      <c r="K380" s="131"/>
      <c r="L380" s="179"/>
    </row>
    <row r="381" spans="2:14" ht="33" customHeight="1" x14ac:dyDescent="0.2">
      <c r="B381" s="186"/>
      <c r="C381" s="492"/>
      <c r="D381" s="482"/>
      <c r="E381" s="482"/>
      <c r="F381" s="482"/>
      <c r="G381" s="482"/>
      <c r="H381" s="482"/>
      <c r="I381" s="482"/>
      <c r="J381" s="482"/>
      <c r="K381" s="483"/>
      <c r="L381" s="179"/>
      <c r="N381" s="402" t="str">
        <f>IF(AND(Activity7_Name&lt;&gt;"",output_relates_activity7=""),"Assign activity to the related output. / Priraďte aktivitu k výsledku.","")</f>
        <v/>
      </c>
    </row>
    <row r="382" spans="2:14" s="78" customFormat="1" ht="4.5" customHeight="1" x14ac:dyDescent="0.2">
      <c r="B382" s="102"/>
      <c r="C382" s="97"/>
      <c r="D382" s="97"/>
      <c r="E382" s="97"/>
      <c r="F382" s="97"/>
      <c r="G382" s="97"/>
      <c r="H382" s="97"/>
      <c r="I382" s="97"/>
      <c r="J382" s="97"/>
      <c r="K382" s="97"/>
      <c r="L382" s="101"/>
    </row>
    <row r="383" spans="2:14" ht="18" customHeight="1" x14ac:dyDescent="0.2">
      <c r="B383" s="190"/>
      <c r="C383" s="365" t="s">
        <v>1146</v>
      </c>
      <c r="D383" s="72"/>
      <c r="E383" s="131"/>
      <c r="F383" s="131"/>
      <c r="G383" s="131"/>
      <c r="H383" s="131"/>
      <c r="I383" s="131"/>
      <c r="J383" s="131"/>
      <c r="K383" s="131"/>
      <c r="L383" s="179"/>
    </row>
    <row r="384" spans="2:14" ht="33" customHeight="1" x14ac:dyDescent="0.2">
      <c r="B384" s="186"/>
      <c r="C384" s="492"/>
      <c r="D384" s="482"/>
      <c r="E384" s="482"/>
      <c r="F384" s="482"/>
      <c r="G384" s="482"/>
      <c r="H384" s="389"/>
      <c r="I384" s="390"/>
      <c r="J384" s="390"/>
      <c r="K384" s="390"/>
      <c r="L384" s="179"/>
      <c r="N384" s="402" t="str">
        <f>IF(AND(LEN(output_relates_activity7)&gt;0,COUNTIF($D$20:$D$29,output_relates_activity7)=0),"Such output is not defined in point 1.4 or was removed. Takýto výsledok nie je definovaný v bode 1.4 alebo bol odstránený","")</f>
        <v/>
      </c>
    </row>
    <row r="385" spans="2:12" s="78" customFormat="1" ht="4.5" customHeight="1" x14ac:dyDescent="0.2">
      <c r="B385" s="102"/>
      <c r="C385" s="97"/>
      <c r="D385" s="97"/>
      <c r="E385" s="97"/>
      <c r="F385" s="97"/>
      <c r="G385" s="97"/>
      <c r="H385" s="97"/>
      <c r="I385" s="97"/>
      <c r="J385" s="97"/>
      <c r="K385" s="97"/>
      <c r="L385" s="101"/>
    </row>
    <row r="386" spans="2:12" ht="18" customHeight="1" x14ac:dyDescent="0.2">
      <c r="B386" s="185"/>
      <c r="C386" s="364" t="s">
        <v>1152</v>
      </c>
      <c r="D386" s="116"/>
      <c r="E386" s="131"/>
      <c r="F386" s="131"/>
      <c r="G386" s="131"/>
      <c r="H386" s="131"/>
      <c r="I386" s="131"/>
      <c r="J386" s="131"/>
      <c r="K386" s="131"/>
      <c r="L386" s="179"/>
    </row>
    <row r="387" spans="2:12" s="78" customFormat="1" ht="4.5" customHeight="1" x14ac:dyDescent="0.2">
      <c r="B387" s="102"/>
      <c r="C387" s="97"/>
      <c r="D387" s="97"/>
      <c r="E387" s="97"/>
      <c r="F387" s="97"/>
      <c r="G387" s="97"/>
      <c r="H387" s="97"/>
      <c r="I387" s="97"/>
      <c r="J387" s="97"/>
      <c r="K387" s="97"/>
      <c r="L387" s="101"/>
    </row>
    <row r="388" spans="2:12" ht="18" customHeight="1" x14ac:dyDescent="0.2">
      <c r="B388" s="130"/>
      <c r="C388" s="131"/>
      <c r="D388" s="72"/>
      <c r="E388" s="131"/>
      <c r="F388" s="131"/>
      <c r="G388" s="131"/>
      <c r="H388" s="131"/>
      <c r="I388" s="131"/>
      <c r="J388" s="131"/>
      <c r="K388" s="131"/>
      <c r="L388" s="179"/>
    </row>
    <row r="389" spans="2:12" ht="18" customHeight="1" x14ac:dyDescent="0.2">
      <c r="B389" s="130"/>
      <c r="C389" s="131"/>
      <c r="D389" s="72"/>
      <c r="E389" s="131"/>
      <c r="F389" s="131"/>
      <c r="G389" s="131"/>
      <c r="H389" s="131"/>
      <c r="I389" s="131"/>
      <c r="J389" s="131"/>
      <c r="K389" s="131"/>
      <c r="L389" s="179"/>
    </row>
    <row r="390" spans="2:12" ht="18" customHeight="1" x14ac:dyDescent="0.2">
      <c r="B390" s="130"/>
      <c r="C390" s="131"/>
      <c r="D390" s="72"/>
      <c r="E390" s="131"/>
      <c r="F390" s="131"/>
      <c r="G390" s="131"/>
      <c r="H390" s="131"/>
      <c r="I390" s="131"/>
      <c r="J390" s="131"/>
      <c r="K390" s="131"/>
      <c r="L390" s="363"/>
    </row>
    <row r="391" spans="2:12" ht="18" customHeight="1" x14ac:dyDescent="0.2">
      <c r="B391" s="130"/>
      <c r="C391" s="131"/>
      <c r="D391" s="72"/>
      <c r="E391" s="131"/>
      <c r="F391" s="131"/>
      <c r="G391" s="131"/>
      <c r="H391" s="131"/>
      <c r="I391" s="131"/>
      <c r="J391" s="131"/>
      <c r="K391" s="131"/>
      <c r="L391" s="363"/>
    </row>
    <row r="392" spans="2:12" ht="18" customHeight="1" x14ac:dyDescent="0.2">
      <c r="B392" s="130"/>
      <c r="C392" s="131"/>
      <c r="D392" s="72"/>
      <c r="E392" s="131"/>
      <c r="F392" s="131"/>
      <c r="G392" s="131"/>
      <c r="H392" s="131"/>
      <c r="I392" s="131"/>
      <c r="J392" s="131"/>
      <c r="K392" s="131"/>
      <c r="L392" s="363"/>
    </row>
    <row r="393" spans="2:12" ht="18" customHeight="1" x14ac:dyDescent="0.2">
      <c r="B393" s="130"/>
      <c r="C393" s="131"/>
      <c r="D393" s="72"/>
      <c r="E393" s="131"/>
      <c r="F393" s="131"/>
      <c r="G393" s="131"/>
      <c r="H393" s="131"/>
      <c r="I393" s="131"/>
      <c r="J393" s="131"/>
      <c r="K393" s="131"/>
      <c r="L393" s="363"/>
    </row>
    <row r="394" spans="2:12" ht="18" customHeight="1" x14ac:dyDescent="0.2">
      <c r="B394" s="130"/>
      <c r="C394" s="131"/>
      <c r="D394" s="72"/>
      <c r="E394" s="131"/>
      <c r="F394" s="131"/>
      <c r="G394" s="131"/>
      <c r="H394" s="131"/>
      <c r="I394" s="131"/>
      <c r="J394" s="131"/>
      <c r="K394" s="131"/>
      <c r="L394" s="363"/>
    </row>
    <row r="395" spans="2:12" ht="18" customHeight="1" x14ac:dyDescent="0.2">
      <c r="B395" s="130"/>
      <c r="C395" s="131"/>
      <c r="D395" s="72"/>
      <c r="E395" s="131"/>
      <c r="F395" s="131"/>
      <c r="G395" s="131"/>
      <c r="H395" s="131"/>
      <c r="I395" s="131"/>
      <c r="J395" s="131"/>
      <c r="K395" s="131"/>
      <c r="L395" s="363"/>
    </row>
    <row r="396" spans="2:12" ht="18" customHeight="1" x14ac:dyDescent="0.2">
      <c r="B396" s="130"/>
      <c r="C396" s="131"/>
      <c r="D396" s="72"/>
      <c r="E396" s="131"/>
      <c r="F396" s="131"/>
      <c r="G396" s="131"/>
      <c r="H396" s="131"/>
      <c r="I396" s="131"/>
      <c r="J396" s="131"/>
      <c r="K396" s="131"/>
      <c r="L396" s="363"/>
    </row>
    <row r="397" spans="2:12" ht="18" customHeight="1" x14ac:dyDescent="0.2">
      <c r="B397" s="130"/>
      <c r="C397" s="131"/>
      <c r="D397" s="72"/>
      <c r="E397" s="131"/>
      <c r="F397" s="131"/>
      <c r="G397" s="131"/>
      <c r="H397" s="131"/>
      <c r="I397" s="131"/>
      <c r="J397" s="131"/>
      <c r="K397" s="131"/>
      <c r="L397" s="363"/>
    </row>
    <row r="398" spans="2:12" ht="18" customHeight="1" x14ac:dyDescent="0.2">
      <c r="B398" s="130"/>
      <c r="C398" s="131"/>
      <c r="D398" s="72"/>
      <c r="E398" s="131"/>
      <c r="F398" s="131"/>
      <c r="G398" s="131"/>
      <c r="H398" s="131"/>
      <c r="I398" s="131"/>
      <c r="J398" s="131"/>
      <c r="K398" s="131"/>
      <c r="L398" s="363"/>
    </row>
    <row r="399" spans="2:12" ht="18" customHeight="1" x14ac:dyDescent="0.2">
      <c r="B399" s="130"/>
      <c r="C399" s="131"/>
      <c r="D399" s="72"/>
      <c r="E399" s="131"/>
      <c r="F399" s="131"/>
      <c r="G399" s="131"/>
      <c r="H399" s="131"/>
      <c r="I399" s="131"/>
      <c r="J399" s="131"/>
      <c r="K399" s="131"/>
      <c r="L399" s="363"/>
    </row>
    <row r="400" spans="2:12" ht="18" customHeight="1" x14ac:dyDescent="0.2">
      <c r="B400" s="130"/>
      <c r="C400" s="131"/>
      <c r="D400" s="72"/>
      <c r="E400" s="131"/>
      <c r="F400" s="131"/>
      <c r="G400" s="131"/>
      <c r="H400" s="131"/>
      <c r="I400" s="131"/>
      <c r="J400" s="131"/>
      <c r="K400" s="131"/>
      <c r="L400" s="179"/>
    </row>
    <row r="401" spans="2:14" ht="18" customHeight="1" x14ac:dyDescent="0.2">
      <c r="B401" s="130"/>
      <c r="C401" s="131"/>
      <c r="D401" s="72"/>
      <c r="E401" s="131"/>
      <c r="F401" s="131"/>
      <c r="G401" s="131"/>
      <c r="H401" s="131"/>
      <c r="I401" s="131"/>
      <c r="J401" s="131"/>
      <c r="K401" s="131"/>
      <c r="L401" s="179"/>
    </row>
    <row r="402" spans="2:14" ht="18" customHeight="1" x14ac:dyDescent="0.2">
      <c r="B402" s="130"/>
      <c r="C402" s="131"/>
      <c r="D402" s="72"/>
      <c r="E402" s="131"/>
      <c r="F402" s="131"/>
      <c r="G402" s="131"/>
      <c r="H402" s="131"/>
      <c r="I402" s="131"/>
      <c r="J402" s="131"/>
      <c r="K402" s="131"/>
      <c r="L402" s="179"/>
    </row>
    <row r="403" spans="2:14" ht="18" customHeight="1" x14ac:dyDescent="0.2">
      <c r="B403" s="130"/>
      <c r="C403" s="131"/>
      <c r="D403" s="72"/>
      <c r="E403" s="131"/>
      <c r="F403" s="131"/>
      <c r="G403" s="131"/>
      <c r="H403" s="131"/>
      <c r="I403" s="131"/>
      <c r="J403" s="131"/>
      <c r="K403" s="131"/>
      <c r="L403" s="179"/>
    </row>
    <row r="404" spans="2:14" ht="18" customHeight="1" x14ac:dyDescent="0.2">
      <c r="B404" s="130"/>
      <c r="C404" s="131"/>
      <c r="D404" s="72"/>
      <c r="E404" s="131"/>
      <c r="F404" s="131"/>
      <c r="G404" s="131"/>
      <c r="H404" s="131"/>
      <c r="I404" s="131"/>
      <c r="J404" s="131"/>
      <c r="K404" s="131"/>
      <c r="L404" s="179"/>
    </row>
    <row r="405" spans="2:14" s="78" customFormat="1" ht="4.5" customHeight="1" x14ac:dyDescent="0.2">
      <c r="B405" s="102"/>
      <c r="C405" s="97"/>
      <c r="D405" s="97"/>
      <c r="E405" s="97"/>
      <c r="F405" s="97"/>
      <c r="G405" s="97"/>
      <c r="H405" s="97"/>
      <c r="I405" s="97"/>
      <c r="J405" s="97"/>
      <c r="K405" s="97"/>
      <c r="L405" s="101"/>
    </row>
    <row r="406" spans="2:14" ht="18" customHeight="1" x14ac:dyDescent="0.2">
      <c r="B406" s="190"/>
      <c r="C406" s="365" t="s">
        <v>1145</v>
      </c>
      <c r="D406" s="72"/>
      <c r="E406" s="131"/>
      <c r="F406" s="131"/>
      <c r="G406" s="131"/>
      <c r="H406" s="131"/>
      <c r="I406" s="131"/>
      <c r="J406" s="131"/>
      <c r="K406" s="131"/>
      <c r="L406" s="179"/>
    </row>
    <row r="407" spans="2:14" ht="33" customHeight="1" x14ac:dyDescent="0.2">
      <c r="B407" s="186"/>
      <c r="C407" s="492"/>
      <c r="D407" s="482"/>
      <c r="E407" s="482"/>
      <c r="F407" s="482"/>
      <c r="G407" s="482"/>
      <c r="H407" s="482"/>
      <c r="I407" s="482"/>
      <c r="J407" s="482"/>
      <c r="K407" s="483"/>
      <c r="L407" s="179"/>
      <c r="N407" s="402" t="str">
        <f>IF(AND(Activity8_Name&lt;&gt;"",output_relates_activity8=""),"Assign activity to the related output. / Priraďte aktivitu k výsledku.","")</f>
        <v/>
      </c>
    </row>
    <row r="408" spans="2:14" s="78" customFormat="1" ht="4.5" customHeight="1" x14ac:dyDescent="0.2">
      <c r="B408" s="102"/>
      <c r="C408" s="97"/>
      <c r="D408" s="97"/>
      <c r="E408" s="97"/>
      <c r="F408" s="97"/>
      <c r="G408" s="97"/>
      <c r="H408" s="97"/>
      <c r="I408" s="97"/>
      <c r="J408" s="97"/>
      <c r="K408" s="97"/>
      <c r="L408" s="101"/>
    </row>
    <row r="409" spans="2:14" ht="18" customHeight="1" x14ac:dyDescent="0.2">
      <c r="B409" s="190"/>
      <c r="C409" s="365" t="s">
        <v>1146</v>
      </c>
      <c r="D409" s="72"/>
      <c r="E409" s="131"/>
      <c r="F409" s="131"/>
      <c r="G409" s="131"/>
      <c r="H409" s="131"/>
      <c r="I409" s="131"/>
      <c r="J409" s="131"/>
      <c r="K409" s="131"/>
      <c r="L409" s="179"/>
    </row>
    <row r="410" spans="2:14" ht="33" customHeight="1" x14ac:dyDescent="0.2">
      <c r="B410" s="186"/>
      <c r="C410" s="492"/>
      <c r="D410" s="482"/>
      <c r="E410" s="482"/>
      <c r="F410" s="482"/>
      <c r="G410" s="482"/>
      <c r="H410" s="389"/>
      <c r="I410" s="390"/>
      <c r="J410" s="390"/>
      <c r="K410" s="390"/>
      <c r="L410" s="179"/>
      <c r="N410" s="402" t="str">
        <f>IF(AND(LEN(output_relates_activity8)&gt;0,COUNTIF($D$20:$D$29,output_relates_activity8)=0),"Such output is not defined in point 1.4 or was removed. Takýto výsledok nie je definovaný v bode 1.4 alebo bol odstránený","")</f>
        <v/>
      </c>
    </row>
    <row r="411" spans="2:14" s="78" customFormat="1" ht="4.5" customHeight="1" x14ac:dyDescent="0.2">
      <c r="B411" s="102"/>
      <c r="C411" s="97"/>
      <c r="D411" s="97"/>
      <c r="E411" s="97"/>
      <c r="F411" s="97"/>
      <c r="G411" s="97"/>
      <c r="H411" s="97"/>
      <c r="I411" s="97"/>
      <c r="J411" s="97"/>
      <c r="K411" s="97"/>
      <c r="L411" s="101"/>
    </row>
    <row r="412" spans="2:14" ht="18" customHeight="1" x14ac:dyDescent="0.2">
      <c r="B412" s="185"/>
      <c r="C412" s="364" t="s">
        <v>1153</v>
      </c>
      <c r="D412" s="116"/>
      <c r="E412" s="131"/>
      <c r="F412" s="131"/>
      <c r="G412" s="131"/>
      <c r="H412" s="131"/>
      <c r="I412" s="131"/>
      <c r="J412" s="131"/>
      <c r="K412" s="131"/>
      <c r="L412" s="179"/>
    </row>
    <row r="413" spans="2:14" s="78" customFormat="1" ht="4.5" customHeight="1" x14ac:dyDescent="0.2">
      <c r="B413" s="102"/>
      <c r="C413" s="97"/>
      <c r="D413" s="97"/>
      <c r="E413" s="97"/>
      <c r="F413" s="97"/>
      <c r="G413" s="97"/>
      <c r="H413" s="97"/>
      <c r="I413" s="97"/>
      <c r="J413" s="97"/>
      <c r="K413" s="97"/>
      <c r="L413" s="101"/>
    </row>
    <row r="414" spans="2:14" ht="18" customHeight="1" x14ac:dyDescent="0.2">
      <c r="B414" s="130"/>
      <c r="C414" s="131"/>
      <c r="D414" s="72"/>
      <c r="E414" s="131"/>
      <c r="F414" s="131"/>
      <c r="G414" s="131"/>
      <c r="H414" s="131"/>
      <c r="I414" s="131"/>
      <c r="J414" s="131"/>
      <c r="K414" s="131"/>
      <c r="L414" s="179"/>
    </row>
    <row r="415" spans="2:14" ht="18" customHeight="1" x14ac:dyDescent="0.2">
      <c r="B415" s="130"/>
      <c r="C415" s="131"/>
      <c r="D415" s="72"/>
      <c r="E415" s="131"/>
      <c r="F415" s="131"/>
      <c r="G415" s="131"/>
      <c r="H415" s="131"/>
      <c r="I415" s="131"/>
      <c r="J415" s="131"/>
      <c r="K415" s="131"/>
      <c r="L415" s="179"/>
    </row>
    <row r="416" spans="2:14" ht="18" customHeight="1" x14ac:dyDescent="0.2">
      <c r="B416" s="130"/>
      <c r="C416" s="131"/>
      <c r="D416" s="72"/>
      <c r="E416" s="131"/>
      <c r="F416" s="131"/>
      <c r="G416" s="131"/>
      <c r="H416" s="131"/>
      <c r="I416" s="131"/>
      <c r="J416" s="131"/>
      <c r="K416" s="131"/>
      <c r="L416" s="363"/>
    </row>
    <row r="417" spans="2:12" ht="18" customHeight="1" x14ac:dyDescent="0.2">
      <c r="B417" s="130"/>
      <c r="C417" s="131"/>
      <c r="D417" s="72"/>
      <c r="E417" s="131"/>
      <c r="F417" s="131"/>
      <c r="G417" s="131"/>
      <c r="H417" s="131"/>
      <c r="I417" s="131"/>
      <c r="J417" s="131"/>
      <c r="K417" s="131"/>
      <c r="L417" s="363"/>
    </row>
    <row r="418" spans="2:12" ht="18" customHeight="1" x14ac:dyDescent="0.2">
      <c r="B418" s="130"/>
      <c r="C418" s="131"/>
      <c r="D418" s="72"/>
      <c r="E418" s="131"/>
      <c r="F418" s="131"/>
      <c r="G418" s="131"/>
      <c r="H418" s="131"/>
      <c r="I418" s="131"/>
      <c r="J418" s="131"/>
      <c r="K418" s="131"/>
      <c r="L418" s="363"/>
    </row>
    <row r="419" spans="2:12" ht="18" customHeight="1" x14ac:dyDescent="0.2">
      <c r="B419" s="130"/>
      <c r="C419" s="131"/>
      <c r="D419" s="72"/>
      <c r="E419" s="131"/>
      <c r="F419" s="131"/>
      <c r="G419" s="131"/>
      <c r="H419" s="131"/>
      <c r="I419" s="131"/>
      <c r="J419" s="131"/>
      <c r="K419" s="131"/>
      <c r="L419" s="363"/>
    </row>
    <row r="420" spans="2:12" ht="18" customHeight="1" x14ac:dyDescent="0.2">
      <c r="B420" s="130"/>
      <c r="C420" s="131"/>
      <c r="D420" s="72"/>
      <c r="E420" s="131"/>
      <c r="F420" s="131"/>
      <c r="G420" s="131"/>
      <c r="H420" s="131"/>
      <c r="I420" s="131"/>
      <c r="J420" s="131"/>
      <c r="K420" s="131"/>
      <c r="L420" s="363"/>
    </row>
    <row r="421" spans="2:12" ht="18" customHeight="1" x14ac:dyDescent="0.2">
      <c r="B421" s="130"/>
      <c r="C421" s="131"/>
      <c r="D421" s="72"/>
      <c r="E421" s="131"/>
      <c r="F421" s="131"/>
      <c r="G421" s="131"/>
      <c r="H421" s="131"/>
      <c r="I421" s="131"/>
      <c r="J421" s="131"/>
      <c r="K421" s="131"/>
      <c r="L421" s="363"/>
    </row>
    <row r="422" spans="2:12" ht="18" customHeight="1" x14ac:dyDescent="0.2">
      <c r="B422" s="130"/>
      <c r="C422" s="131"/>
      <c r="D422" s="72"/>
      <c r="E422" s="131"/>
      <c r="F422" s="131"/>
      <c r="G422" s="131"/>
      <c r="H422" s="131"/>
      <c r="I422" s="131"/>
      <c r="J422" s="131"/>
      <c r="K422" s="131"/>
      <c r="L422" s="363"/>
    </row>
    <row r="423" spans="2:12" ht="18" customHeight="1" x14ac:dyDescent="0.2">
      <c r="B423" s="130"/>
      <c r="C423" s="131"/>
      <c r="D423" s="72"/>
      <c r="E423" s="131"/>
      <c r="F423" s="131"/>
      <c r="G423" s="131"/>
      <c r="H423" s="131"/>
      <c r="I423" s="131"/>
      <c r="J423" s="131"/>
      <c r="K423" s="131"/>
      <c r="L423" s="363"/>
    </row>
    <row r="424" spans="2:12" ht="18" customHeight="1" x14ac:dyDescent="0.2">
      <c r="B424" s="130"/>
      <c r="C424" s="131"/>
      <c r="D424" s="72"/>
      <c r="E424" s="131"/>
      <c r="F424" s="131"/>
      <c r="G424" s="131"/>
      <c r="H424" s="131"/>
      <c r="I424" s="131"/>
      <c r="J424" s="131"/>
      <c r="K424" s="131"/>
      <c r="L424" s="363"/>
    </row>
    <row r="425" spans="2:12" ht="18" customHeight="1" x14ac:dyDescent="0.2">
      <c r="B425" s="130"/>
      <c r="C425" s="131"/>
      <c r="D425" s="72"/>
      <c r="E425" s="131"/>
      <c r="F425" s="131"/>
      <c r="G425" s="131"/>
      <c r="H425" s="131"/>
      <c r="I425" s="131"/>
      <c r="J425" s="131"/>
      <c r="K425" s="131"/>
      <c r="L425" s="363"/>
    </row>
    <row r="426" spans="2:12" ht="18" customHeight="1" x14ac:dyDescent="0.2">
      <c r="B426" s="130"/>
      <c r="C426" s="131"/>
      <c r="D426" s="72"/>
      <c r="E426" s="131"/>
      <c r="F426" s="131"/>
      <c r="G426" s="131"/>
      <c r="H426" s="131"/>
      <c r="I426" s="131"/>
      <c r="J426" s="131"/>
      <c r="K426" s="131"/>
      <c r="L426" s="179"/>
    </row>
    <row r="427" spans="2:12" ht="18" customHeight="1" x14ac:dyDescent="0.2">
      <c r="B427" s="130"/>
      <c r="C427" s="131"/>
      <c r="D427" s="72"/>
      <c r="E427" s="131"/>
      <c r="F427" s="131"/>
      <c r="G427" s="131"/>
      <c r="H427" s="131"/>
      <c r="I427" s="131"/>
      <c r="J427" s="131"/>
      <c r="K427" s="131"/>
      <c r="L427" s="179"/>
    </row>
    <row r="428" spans="2:12" ht="18" customHeight="1" x14ac:dyDescent="0.2">
      <c r="B428" s="130"/>
      <c r="C428" s="131"/>
      <c r="D428" s="72"/>
      <c r="E428" s="131"/>
      <c r="F428" s="131"/>
      <c r="G428" s="131"/>
      <c r="H428" s="131"/>
      <c r="I428" s="131"/>
      <c r="J428" s="131"/>
      <c r="K428" s="131"/>
      <c r="L428" s="179"/>
    </row>
    <row r="429" spans="2:12" ht="18" customHeight="1" x14ac:dyDescent="0.2">
      <c r="B429" s="130"/>
      <c r="C429" s="131"/>
      <c r="D429" s="72"/>
      <c r="E429" s="131"/>
      <c r="F429" s="131"/>
      <c r="G429" s="131"/>
      <c r="H429" s="131"/>
      <c r="I429" s="131"/>
      <c r="J429" s="131"/>
      <c r="K429" s="131"/>
      <c r="L429" s="363"/>
    </row>
    <row r="430" spans="2:12" ht="18" customHeight="1" x14ac:dyDescent="0.2">
      <c r="B430" s="130"/>
      <c r="C430" s="131"/>
      <c r="D430" s="72"/>
      <c r="E430" s="131"/>
      <c r="F430" s="131"/>
      <c r="G430" s="131"/>
      <c r="H430" s="131"/>
      <c r="I430" s="131"/>
      <c r="J430" s="131"/>
      <c r="K430" s="131"/>
      <c r="L430" s="179"/>
    </row>
    <row r="431" spans="2:12" ht="18" customHeight="1" x14ac:dyDescent="0.2">
      <c r="B431" s="130"/>
      <c r="C431" s="131"/>
      <c r="D431" s="72"/>
      <c r="E431" s="131"/>
      <c r="F431" s="131"/>
      <c r="G431" s="131"/>
      <c r="H431" s="131"/>
      <c r="I431" s="131"/>
      <c r="J431" s="131"/>
      <c r="K431" s="131"/>
      <c r="L431" s="179"/>
    </row>
    <row r="432" spans="2:12" s="78" customFormat="1" ht="4.5" customHeight="1" x14ac:dyDescent="0.2">
      <c r="B432" s="106"/>
      <c r="C432" s="106"/>
      <c r="D432" s="106"/>
      <c r="E432" s="106"/>
      <c r="F432" s="106"/>
      <c r="G432" s="106"/>
      <c r="H432" s="106"/>
      <c r="I432" s="106"/>
      <c r="J432" s="106"/>
      <c r="K432" s="106"/>
      <c r="L432" s="106"/>
    </row>
    <row r="433" spans="2:15" ht="18" customHeight="1" x14ac:dyDescent="0.2">
      <c r="B433" s="181" t="s">
        <v>1159</v>
      </c>
      <c r="C433" s="181"/>
      <c r="D433" s="191"/>
      <c r="E433" s="191"/>
      <c r="F433" s="191"/>
      <c r="G433" s="191"/>
      <c r="H433" s="191"/>
      <c r="I433" s="191"/>
      <c r="J433" s="191"/>
      <c r="K433" s="191"/>
      <c r="L433" s="192"/>
    </row>
    <row r="434" spans="2:15" s="78" customFormat="1" ht="23.25" customHeight="1" x14ac:dyDescent="0.2">
      <c r="B434" s="242" t="s">
        <v>1160</v>
      </c>
      <c r="L434" s="101"/>
    </row>
    <row r="435" spans="2:15" s="78" customFormat="1" ht="5.25" customHeight="1" x14ac:dyDescent="0.2">
      <c r="B435" s="102"/>
      <c r="C435" s="97"/>
      <c r="D435" s="97"/>
      <c r="E435" s="97"/>
      <c r="F435" s="97"/>
      <c r="G435" s="97"/>
      <c r="H435" s="97"/>
      <c r="I435" s="97"/>
      <c r="J435" s="97"/>
      <c r="K435" s="97"/>
      <c r="L435" s="101"/>
    </row>
    <row r="436" spans="2:15" ht="32.25" customHeight="1" x14ac:dyDescent="0.2">
      <c r="B436" s="170"/>
      <c r="C436" s="479" t="s">
        <v>1155</v>
      </c>
      <c r="D436" s="503"/>
      <c r="E436" s="169" t="s">
        <v>226</v>
      </c>
      <c r="F436" s="169" t="s">
        <v>227</v>
      </c>
      <c r="G436" s="169" t="s">
        <v>1156</v>
      </c>
      <c r="H436" s="169" t="s">
        <v>1157</v>
      </c>
      <c r="I436" s="479" t="s">
        <v>1158</v>
      </c>
      <c r="J436" s="480"/>
      <c r="K436" s="480"/>
      <c r="L436" s="386" t="s">
        <v>146</v>
      </c>
    </row>
    <row r="437" spans="2:15" ht="75" customHeight="1" x14ac:dyDescent="0.2">
      <c r="B437" s="250"/>
      <c r="C437" s="503"/>
      <c r="D437" s="503"/>
      <c r="E437" s="251" t="str">
        <f t="array" aca="1" ref="E437" ca="1">IF($C437="","",OFFSET(INDIRECT(VLOOKUP(programme_outcome,outcomes_table,3,FALSE)),MATCH($C437,INDIRECT(VLOOKUP(programme_outcome,outcomes_table,3,FALSE)),0)-1,2))</f>
        <v/>
      </c>
      <c r="F437" s="251" t="str">
        <f t="array" aca="1" ref="F437" ca="1">IF($C437="","",OFFSET(INDIRECT(VLOOKUP(programme_outcome,outcomes_table,3,FALSE)),MATCH($C437,INDIRECT(VLOOKUP(programme_outcome,outcomes_table,3,FALSE)),0)-1,1))</f>
        <v/>
      </c>
      <c r="G437" s="266"/>
      <c r="H437" s="266"/>
      <c r="I437" s="481"/>
      <c r="J437" s="482"/>
      <c r="K437" s="483"/>
      <c r="L437" s="393" t="str">
        <f t="array" aca="1" ref="L437" ca="1">IF($C437="","",OFFSET(INDIRECT(VLOOKUP(programme_outcome,outcomes_table,3,FALSE)),MATCH($C437,INDIRECT(VLOOKUP(programme_outcome,outcomes_table,3,FALSE)),0)-1,3))</f>
        <v/>
      </c>
      <c r="M437" s="258"/>
      <c r="O437" s="187"/>
    </row>
    <row r="438" spans="2:15" ht="75" customHeight="1" x14ac:dyDescent="0.2">
      <c r="B438" s="250"/>
      <c r="C438" s="503"/>
      <c r="D438" s="503"/>
      <c r="E438" s="251" t="str">
        <f t="array" aca="1" ref="E438" ca="1">IF($C438="","",OFFSET(INDIRECT(VLOOKUP(programme_outcome,outcomes_table,3,FALSE)),MATCH($C438,INDIRECT(VLOOKUP(programme_outcome,outcomes_table,3,FALSE)),0)-1,2))</f>
        <v/>
      </c>
      <c r="F438" s="251" t="str">
        <f t="array" aca="1" ref="F438" ca="1">IF($C438="","",OFFSET(INDIRECT(VLOOKUP(programme_outcome,outcomes_table,3,FALSE)),MATCH($C438,INDIRECT(VLOOKUP(programme_outcome,outcomes_table,3,FALSE)),0)-1,1))</f>
        <v/>
      </c>
      <c r="G438" s="266"/>
      <c r="H438" s="266"/>
      <c r="I438" s="481"/>
      <c r="J438" s="482"/>
      <c r="K438" s="483"/>
      <c r="L438" s="393" t="str">
        <f t="array" aca="1" ref="L438" ca="1">IF($C438="","",OFFSET(INDIRECT(VLOOKUP(programme_outcome,outcomes_table,3,FALSE)),MATCH($C438,INDIRECT(VLOOKUP(programme_outcome,outcomes_table,3,FALSE)),0)-1,3))</f>
        <v/>
      </c>
      <c r="M438" s="258"/>
      <c r="O438" s="187"/>
    </row>
    <row r="439" spans="2:15" ht="75" customHeight="1" x14ac:dyDescent="0.2">
      <c r="B439" s="250"/>
      <c r="C439" s="503"/>
      <c r="D439" s="503"/>
      <c r="E439" s="251" t="str">
        <f t="array" aca="1" ref="E439" ca="1">IF($C439="","",OFFSET(INDIRECT(VLOOKUP(programme_outcome,outcomes_table,3,FALSE)),MATCH($C439,INDIRECT(VLOOKUP(programme_outcome,outcomes_table,3,FALSE)),0)-1,2))</f>
        <v/>
      </c>
      <c r="F439" s="251" t="str">
        <f t="array" aca="1" ref="F439" ca="1">IF($C439="","",OFFSET(INDIRECT(VLOOKUP(programme_outcome,outcomes_table,3,FALSE)),MATCH($C439,INDIRECT(VLOOKUP(programme_outcome,outcomes_table,3,FALSE)),0)-1,1))</f>
        <v/>
      </c>
      <c r="G439" s="266"/>
      <c r="H439" s="266"/>
      <c r="I439" s="481"/>
      <c r="J439" s="482"/>
      <c r="K439" s="483"/>
      <c r="L439" s="393" t="str">
        <f t="array" aca="1" ref="L439" ca="1">IF($C439="","",OFFSET(INDIRECT(VLOOKUP(programme_outcome,outcomes_table,3,FALSE)),MATCH($C439,INDIRECT(VLOOKUP(programme_outcome,outcomes_table,3,FALSE)),0)-1,3))</f>
        <v/>
      </c>
      <c r="M439" s="258"/>
    </row>
    <row r="440" spans="2:15" ht="75" customHeight="1" x14ac:dyDescent="0.2">
      <c r="B440" s="250"/>
      <c r="C440" s="503"/>
      <c r="D440" s="503"/>
      <c r="E440" s="251" t="str">
        <f t="array" aca="1" ref="E440" ca="1">IF($C440="","",OFFSET(INDIRECT(VLOOKUP(programme_outcome,outcomes_table,3,FALSE)),MATCH($C440,INDIRECT(VLOOKUP(programme_outcome,outcomes_table,3,FALSE)),0)-1,2))</f>
        <v/>
      </c>
      <c r="F440" s="251" t="str">
        <f t="array" aca="1" ref="F440" ca="1">IF($C440="","",OFFSET(INDIRECT(VLOOKUP(programme_outcome,outcomes_table,3,FALSE)),MATCH($C440,INDIRECT(VLOOKUP(programme_outcome,outcomes_table,3,FALSE)),0)-1,1))</f>
        <v/>
      </c>
      <c r="G440" s="266"/>
      <c r="H440" s="266"/>
      <c r="I440" s="481"/>
      <c r="J440" s="482"/>
      <c r="K440" s="483"/>
      <c r="L440" s="393" t="str">
        <f t="array" aca="1" ref="L440" ca="1">IF($C440="","",OFFSET(INDIRECT(VLOOKUP(programme_outcome,outcomes_table,3,FALSE)),MATCH($C440,INDIRECT(VLOOKUP(programme_outcome,outcomes_table,3,FALSE)),0)-1,3))</f>
        <v/>
      </c>
      <c r="M440" s="258"/>
    </row>
    <row r="441" spans="2:15" ht="75" customHeight="1" x14ac:dyDescent="0.2">
      <c r="B441" s="250"/>
      <c r="C441" s="503"/>
      <c r="D441" s="503"/>
      <c r="E441" s="251" t="str">
        <f t="array" aca="1" ref="E441" ca="1">IF($C441="","",OFFSET(INDIRECT(VLOOKUP(programme_outcome,outcomes_table,3,FALSE)),MATCH($C441,INDIRECT(VLOOKUP(programme_outcome,outcomes_table,3,FALSE)),0)-1,2))</f>
        <v/>
      </c>
      <c r="F441" s="251" t="str">
        <f t="array" aca="1" ref="F441" ca="1">IF($C441="","",OFFSET(INDIRECT(VLOOKUP(programme_outcome,outcomes_table,3,FALSE)),MATCH($C441,INDIRECT(VLOOKUP(programme_outcome,outcomes_table,3,FALSE)),0)-1,1))</f>
        <v/>
      </c>
      <c r="G441" s="266"/>
      <c r="H441" s="266"/>
      <c r="I441" s="481"/>
      <c r="J441" s="482"/>
      <c r="K441" s="483"/>
      <c r="L441" s="393" t="str">
        <f t="array" aca="1" ref="L441" ca="1">IF($C441="","",OFFSET(INDIRECT(VLOOKUP(programme_outcome,outcomes_table,3,FALSE)),MATCH($C441,INDIRECT(VLOOKUP(programme_outcome,outcomes_table,3,FALSE)),0)-1,3))</f>
        <v/>
      </c>
      <c r="M441" s="258"/>
    </row>
    <row r="442" spans="2:15" ht="75" customHeight="1" x14ac:dyDescent="0.2">
      <c r="B442" s="250"/>
      <c r="C442" s="503"/>
      <c r="D442" s="503"/>
      <c r="E442" s="251" t="str">
        <f t="array" aca="1" ref="E442" ca="1">IF($C442="","",OFFSET(INDIRECT(VLOOKUP(programme_outcome,outcomes_table,3,FALSE)),MATCH($C442,INDIRECT(VLOOKUP(programme_outcome,outcomes_table,3,FALSE)),0)-1,2))</f>
        <v/>
      </c>
      <c r="F442" s="251" t="str">
        <f t="array" aca="1" ref="F442" ca="1">IF($C442="","",OFFSET(INDIRECT(VLOOKUP(programme_outcome,outcomes_table,3,FALSE)),MATCH($C442,INDIRECT(VLOOKUP(programme_outcome,outcomes_table,3,FALSE)),0)-1,1))</f>
        <v/>
      </c>
      <c r="G442" s="266"/>
      <c r="H442" s="266"/>
      <c r="I442" s="481"/>
      <c r="J442" s="482"/>
      <c r="K442" s="483"/>
      <c r="L442" s="393" t="str">
        <f t="array" aca="1" ref="L442" ca="1">IF($C442="","",OFFSET(INDIRECT(VLOOKUP(programme_outcome,outcomes_table,3,FALSE)),MATCH($C442,INDIRECT(VLOOKUP(programme_outcome,outcomes_table,3,FALSE)),0)-1,3))</f>
        <v/>
      </c>
      <c r="M442" s="258"/>
    </row>
    <row r="443" spans="2:15" ht="75" customHeight="1" x14ac:dyDescent="0.2">
      <c r="B443" s="250"/>
      <c r="C443" s="503"/>
      <c r="D443" s="503"/>
      <c r="E443" s="251" t="str">
        <f t="array" aca="1" ref="E443" ca="1">IF($C443="","",OFFSET(INDIRECT(VLOOKUP(programme_outcome,outcomes_table,3,FALSE)),MATCH($C443,INDIRECT(VLOOKUP(programme_outcome,outcomes_table,3,FALSE)),0)-1,2))</f>
        <v/>
      </c>
      <c r="F443" s="251" t="str">
        <f t="array" aca="1" ref="F443" ca="1">IF($C443="","",OFFSET(INDIRECT(VLOOKUP(programme_outcome,outcomes_table,3,FALSE)),MATCH($C443,INDIRECT(VLOOKUP(programme_outcome,outcomes_table,3,FALSE)),0)-1,1))</f>
        <v/>
      </c>
      <c r="G443" s="266"/>
      <c r="H443" s="266"/>
      <c r="I443" s="481"/>
      <c r="J443" s="482"/>
      <c r="K443" s="483"/>
      <c r="L443" s="393" t="str">
        <f t="array" aca="1" ref="L443" ca="1">IF($C443="","",OFFSET(INDIRECT(VLOOKUP(programme_outcome,outcomes_table,3,FALSE)),MATCH($C443,INDIRECT(VLOOKUP(programme_outcome,outcomes_table,3,FALSE)),0)-1,3))</f>
        <v/>
      </c>
      <c r="M443" s="258"/>
    </row>
    <row r="444" spans="2:15" ht="75" customHeight="1" x14ac:dyDescent="0.2">
      <c r="B444" s="250"/>
      <c r="C444" s="503"/>
      <c r="D444" s="503"/>
      <c r="E444" s="251" t="str">
        <f t="array" aca="1" ref="E444" ca="1">IF($C444="","",OFFSET(INDIRECT(VLOOKUP(programme_outcome,outcomes_table,3,FALSE)),MATCH($C444,INDIRECT(VLOOKUP(programme_outcome,outcomes_table,3,FALSE)),0)-1,2))</f>
        <v/>
      </c>
      <c r="F444" s="251" t="str">
        <f t="array" aca="1" ref="F444" ca="1">IF($C444="","",OFFSET(INDIRECT(VLOOKUP(programme_outcome,outcomes_table,3,FALSE)),MATCH($C444,INDIRECT(VLOOKUP(programme_outcome,outcomes_table,3,FALSE)),0)-1,1))</f>
        <v/>
      </c>
      <c r="G444" s="266"/>
      <c r="H444" s="266"/>
      <c r="I444" s="481"/>
      <c r="J444" s="482"/>
      <c r="K444" s="483"/>
      <c r="L444" s="393" t="str">
        <f t="array" aca="1" ref="L444" ca="1">IF($C444="","",OFFSET(INDIRECT(VLOOKUP(programme_outcome,outcomes_table,3,FALSE)),MATCH($C444,INDIRECT(VLOOKUP(programme_outcome,outcomes_table,3,FALSE)),0)-1,3))</f>
        <v/>
      </c>
      <c r="M444" s="258"/>
    </row>
    <row r="445" spans="2:15" ht="75" customHeight="1" x14ac:dyDescent="0.2">
      <c r="B445" s="250"/>
      <c r="C445" s="503"/>
      <c r="D445" s="503"/>
      <c r="E445" s="251" t="str">
        <f t="array" aca="1" ref="E445" ca="1">IF($C445="","",OFFSET(INDIRECT(VLOOKUP(programme_outcome,outcomes_table,3,FALSE)),MATCH($C445,INDIRECT(VLOOKUP(programme_outcome,outcomes_table,3,FALSE)),0)-1,2))</f>
        <v/>
      </c>
      <c r="F445" s="251" t="str">
        <f t="array" aca="1" ref="F445" ca="1">IF($C445="","",OFFSET(INDIRECT(VLOOKUP(programme_outcome,outcomes_table,3,FALSE)),MATCH($C445,INDIRECT(VLOOKUP(programme_outcome,outcomes_table,3,FALSE)),0)-1,1))</f>
        <v/>
      </c>
      <c r="G445" s="266"/>
      <c r="H445" s="266"/>
      <c r="I445" s="481"/>
      <c r="J445" s="482"/>
      <c r="K445" s="483"/>
      <c r="L445" s="393" t="str">
        <f t="array" aca="1" ref="L445" ca="1">IF($C445="","",OFFSET(INDIRECT(VLOOKUP(programme_outcome,outcomes_table,3,FALSE)),MATCH($C445,INDIRECT(VLOOKUP(programme_outcome,outcomes_table,3,FALSE)),0)-1,3))</f>
        <v/>
      </c>
      <c r="M445" s="258"/>
    </row>
    <row r="446" spans="2:15" ht="75" customHeight="1" x14ac:dyDescent="0.2">
      <c r="B446" s="250"/>
      <c r="C446" s="503"/>
      <c r="D446" s="503"/>
      <c r="E446" s="251" t="str">
        <f t="array" aca="1" ref="E446" ca="1">IF($C446="","",OFFSET(INDIRECT(VLOOKUP(programme_outcome,outcomes_table,3,FALSE)),MATCH($C446,INDIRECT(VLOOKUP(programme_outcome,outcomes_table,3,FALSE)),0)-1,2))</f>
        <v/>
      </c>
      <c r="F446" s="251" t="str">
        <f t="array" aca="1" ref="F446" ca="1">IF($C446="","",OFFSET(INDIRECT(VLOOKUP(programme_outcome,outcomes_table,3,FALSE)),MATCH($C446,INDIRECT(VLOOKUP(programme_outcome,outcomes_table,3,FALSE)),0)-1,1))</f>
        <v/>
      </c>
      <c r="G446" s="266"/>
      <c r="H446" s="266"/>
      <c r="I446" s="481"/>
      <c r="J446" s="482"/>
      <c r="K446" s="483"/>
      <c r="L446" s="393" t="str">
        <f t="array" aca="1" ref="L446" ca="1">IF($C446="","",OFFSET(INDIRECT(VLOOKUP(programme_outcome,outcomes_table,3,FALSE)),MATCH($C446,INDIRECT(VLOOKUP(programme_outcome,outcomes_table,3,FALSE)),0)-1,3))</f>
        <v/>
      </c>
      <c r="M446" s="258"/>
      <c r="O446" s="233"/>
    </row>
    <row r="447" spans="2:15" ht="75" customHeight="1" x14ac:dyDescent="0.2">
      <c r="B447" s="250"/>
      <c r="C447" s="503"/>
      <c r="D447" s="503"/>
      <c r="E447" s="251" t="str">
        <f t="array" aca="1" ref="E447" ca="1">IF($C447="","",OFFSET(INDIRECT(VLOOKUP(programme_outcome,outcomes_table,3,FALSE)),MATCH($C447,INDIRECT(VLOOKUP(programme_outcome,outcomes_table,3,FALSE)),0)-1,2))</f>
        <v/>
      </c>
      <c r="F447" s="251" t="str">
        <f t="array" aca="1" ref="F447" ca="1">IF($C447="","",OFFSET(INDIRECT(VLOOKUP(programme_outcome,outcomes_table,3,FALSE)),MATCH($C447,INDIRECT(VLOOKUP(programme_outcome,outcomes_table,3,FALSE)),0)-1,1))</f>
        <v/>
      </c>
      <c r="G447" s="266"/>
      <c r="H447" s="266"/>
      <c r="I447" s="481"/>
      <c r="J447" s="482"/>
      <c r="K447" s="483"/>
      <c r="L447" s="393" t="str">
        <f t="array" aca="1" ref="L447" ca="1">IF($C447="","",OFFSET(INDIRECT(VLOOKUP(programme_outcome,outcomes_table,3,FALSE)),MATCH($C447,INDIRECT(VLOOKUP(programme_outcome,outcomes_table,3,FALSE)),0)-1,3))</f>
        <v/>
      </c>
      <c r="M447" s="258"/>
    </row>
    <row r="448" spans="2:15" ht="75" customHeight="1" x14ac:dyDescent="0.2">
      <c r="B448" s="250"/>
      <c r="C448" s="503"/>
      <c r="D448" s="503"/>
      <c r="E448" s="251" t="str">
        <f t="array" aca="1" ref="E448" ca="1">IF($C448="","",OFFSET(INDIRECT(VLOOKUP(programme_outcome,outcomes_table,3,FALSE)),MATCH($C448,INDIRECT(VLOOKUP(programme_outcome,outcomes_table,3,FALSE)),0)-1,2))</f>
        <v/>
      </c>
      <c r="F448" s="251" t="str">
        <f t="array" aca="1" ref="F448" ca="1">IF($C448="","",OFFSET(INDIRECT(VLOOKUP(programme_outcome,outcomes_table,3,FALSE)),MATCH($C448,INDIRECT(VLOOKUP(programme_outcome,outcomes_table,3,FALSE)),0)-1,1))</f>
        <v/>
      </c>
      <c r="G448" s="266"/>
      <c r="H448" s="266"/>
      <c r="I448" s="481"/>
      <c r="J448" s="482"/>
      <c r="K448" s="483"/>
      <c r="L448" s="393" t="str">
        <f t="array" aca="1" ref="L448" ca="1">IF($C448="","",OFFSET(INDIRECT(VLOOKUP(programme_outcome,outcomes_table,3,FALSE)),MATCH($C448,INDIRECT(VLOOKUP(programme_outcome,outcomes_table,3,FALSE)),0)-1,3))</f>
        <v/>
      </c>
      <c r="M448" s="258"/>
    </row>
    <row r="449" spans="2:13" ht="75" customHeight="1" x14ac:dyDescent="0.2">
      <c r="B449" s="250"/>
      <c r="C449" s="503"/>
      <c r="D449" s="503"/>
      <c r="E449" s="251" t="str">
        <f t="array" aca="1" ref="E449" ca="1">IF($C449="","",OFFSET(INDIRECT(VLOOKUP(programme_outcome,outcomes_table,3,FALSE)),MATCH($C449,INDIRECT(VLOOKUP(programme_outcome,outcomes_table,3,FALSE)),0)-1,2))</f>
        <v/>
      </c>
      <c r="F449" s="251" t="str">
        <f t="array" aca="1" ref="F449" ca="1">IF($C449="","",OFFSET(INDIRECT(VLOOKUP(programme_outcome,outcomes_table,3,FALSE)),MATCH($C449,INDIRECT(VLOOKUP(programme_outcome,outcomes_table,3,FALSE)),0)-1,1))</f>
        <v/>
      </c>
      <c r="G449" s="266"/>
      <c r="H449" s="266"/>
      <c r="I449" s="481"/>
      <c r="J449" s="482"/>
      <c r="K449" s="483"/>
      <c r="L449" s="393" t="str">
        <f t="array" aca="1" ref="L449" ca="1">IF($C449="","",OFFSET(INDIRECT(VLOOKUP(programme_outcome,outcomes_table,3,FALSE)),MATCH($C449,INDIRECT(VLOOKUP(programme_outcome,outcomes_table,3,FALSE)),0)-1,3))</f>
        <v/>
      </c>
      <c r="M449" s="258"/>
    </row>
    <row r="450" spans="2:13" ht="75" customHeight="1" x14ac:dyDescent="0.2">
      <c r="B450" s="250"/>
      <c r="C450" s="503"/>
      <c r="D450" s="503"/>
      <c r="E450" s="251" t="str">
        <f t="array" aca="1" ref="E450" ca="1">IF($C450="","",OFFSET(INDIRECT(VLOOKUP(programme_outcome,outcomes_table,3,FALSE)),MATCH($C450,INDIRECT(VLOOKUP(programme_outcome,outcomes_table,3,FALSE)),0)-1,2))</f>
        <v/>
      </c>
      <c r="F450" s="251" t="str">
        <f t="array" aca="1" ref="F450" ca="1">IF($C450="","",OFFSET(INDIRECT(VLOOKUP(programme_outcome,outcomes_table,3,FALSE)),MATCH($C450,INDIRECT(VLOOKUP(programme_outcome,outcomes_table,3,FALSE)),0)-1,1))</f>
        <v/>
      </c>
      <c r="G450" s="266"/>
      <c r="H450" s="266"/>
      <c r="I450" s="481"/>
      <c r="J450" s="482"/>
      <c r="K450" s="483"/>
      <c r="L450" s="393" t="str">
        <f t="array" aca="1" ref="L450" ca="1">IF($C450="","",OFFSET(INDIRECT(VLOOKUP(programme_outcome,outcomes_table,3,FALSE)),MATCH($C450,INDIRECT(VLOOKUP(programme_outcome,outcomes_table,3,FALSE)),0)-1,3))</f>
        <v/>
      </c>
      <c r="M450" s="258"/>
    </row>
    <row r="451" spans="2:13" customFormat="1" ht="7.5" customHeight="1" x14ac:dyDescent="0.2">
      <c r="B451" s="379"/>
      <c r="C451" s="254"/>
      <c r="D451" s="254"/>
      <c r="E451" s="254"/>
      <c r="F451" s="254"/>
      <c r="G451" s="254"/>
      <c r="H451" s="254"/>
      <c r="I451" s="254"/>
      <c r="J451" s="254"/>
      <c r="K451" s="254"/>
      <c r="L451" s="255"/>
      <c r="M451" s="378"/>
    </row>
    <row r="452" spans="2:13" customFormat="1" ht="7.5" customHeight="1" x14ac:dyDescent="0.2">
      <c r="B452" s="380"/>
      <c r="C452" s="380"/>
      <c r="D452" s="380"/>
      <c r="E452" s="380"/>
      <c r="F452" s="380"/>
      <c r="G452" s="380"/>
      <c r="H452" s="380"/>
      <c r="I452" s="380"/>
      <c r="J452" s="380"/>
      <c r="K452" s="380"/>
      <c r="L452" s="380"/>
      <c r="M452" s="378"/>
    </row>
    <row r="453" spans="2:13" customFormat="1" ht="7.5" customHeight="1" x14ac:dyDescent="0.2">
      <c r="B453" s="254"/>
      <c r="C453" s="254"/>
      <c r="D453" s="254"/>
      <c r="E453" s="254"/>
      <c r="F453" s="254"/>
      <c r="G453" s="254"/>
      <c r="H453" s="254"/>
      <c r="I453" s="254"/>
      <c r="J453" s="254"/>
      <c r="K453" s="254"/>
      <c r="L453" s="254"/>
      <c r="M453" s="378"/>
    </row>
    <row r="454" spans="2:13" s="78" customFormat="1" ht="23.25" customHeight="1" x14ac:dyDescent="0.2">
      <c r="B454" s="381" t="s">
        <v>1161</v>
      </c>
      <c r="C454" s="106"/>
      <c r="D454" s="106"/>
      <c r="E454" s="106"/>
      <c r="F454" s="106"/>
      <c r="G454" s="106"/>
      <c r="H454" s="106"/>
      <c r="I454" s="106"/>
      <c r="J454" s="106"/>
      <c r="K454" s="106"/>
      <c r="L454" s="382"/>
    </row>
    <row r="455" spans="2:13" customFormat="1" ht="7.5" customHeight="1" x14ac:dyDescent="0.2">
      <c r="B455" s="241"/>
      <c r="M455" s="241"/>
    </row>
    <row r="456" spans="2:13" ht="32.25" customHeight="1" x14ac:dyDescent="0.2">
      <c r="B456" s="170"/>
      <c r="C456" s="479" t="s">
        <v>1155</v>
      </c>
      <c r="D456" s="503"/>
      <c r="E456" s="448" t="s">
        <v>226</v>
      </c>
      <c r="F456" s="448" t="s">
        <v>227</v>
      </c>
      <c r="G456" s="448" t="s">
        <v>1156</v>
      </c>
      <c r="H456" s="448" t="s">
        <v>1157</v>
      </c>
      <c r="I456" s="479" t="s">
        <v>1158</v>
      </c>
      <c r="J456" s="480"/>
      <c r="K456" s="480"/>
      <c r="L456" s="448" t="s">
        <v>146</v>
      </c>
    </row>
    <row r="457" spans="2:13" ht="75" customHeight="1" x14ac:dyDescent="0.2">
      <c r="B457" s="250"/>
      <c r="C457" s="503"/>
      <c r="D457" s="503"/>
      <c r="E457" s="251" t="str">
        <f t="array" aca="1" ref="E457" ca="1">IF($C457="","",OFFSET(INDIRECT("indicators_"&amp;programme_abbreviation&amp;"_OTCB"),MATCH($C457,INDIRECT("indicators_"&amp;programme_abbreviation&amp;"_OTCB"),0)-1,2))</f>
        <v/>
      </c>
      <c r="F457" s="251" t="str">
        <f t="array" aca="1" ref="F457" ca="1">IF($C457="","",OFFSET(INDIRECT("indicators_"&amp;programme_abbreviation&amp;"_OTCB"),MATCH($C457,INDIRECT("indicators_"&amp;programme_abbreviation&amp;"_OTCB"),0)-1,1))</f>
        <v/>
      </c>
      <c r="G457" s="262"/>
      <c r="H457" s="262"/>
      <c r="I457" s="481"/>
      <c r="J457" s="482"/>
      <c r="K457" s="483"/>
      <c r="L457" s="393" t="str">
        <f t="array" aca="1" ref="L457" ca="1">IF($C457="","",OFFSET(INDIRECT("indicators_"&amp;programme_abbreviation&amp;"_OTCB"),MATCH($C457,INDIRECT("indicators_"&amp;programme_abbreviation&amp;"_OTCB"),0)-1,3))</f>
        <v/>
      </c>
      <c r="M457" s="258"/>
    </row>
    <row r="458" spans="2:13" ht="75" customHeight="1" x14ac:dyDescent="0.2">
      <c r="B458" s="250"/>
      <c r="C458" s="503"/>
      <c r="D458" s="503"/>
      <c r="E458" s="251" t="str">
        <f t="array" aca="1" ref="E458" ca="1">IF($C458="","",OFFSET(INDIRECT("indicators_"&amp;programme_abbreviation&amp;"_OTCB"),MATCH($C458,INDIRECT("indicators_"&amp;programme_abbreviation&amp;"_OTCB"),0)-1,2))</f>
        <v/>
      </c>
      <c r="F458" s="251" t="str">
        <f t="array" aca="1" ref="F458" ca="1">IF($C458="","",OFFSET(INDIRECT("indicators_"&amp;programme_abbreviation&amp;"_OTCB"),MATCH($C458,INDIRECT("indicators_"&amp;programme_abbreviation&amp;"_OTCB"),0)-1,1))</f>
        <v/>
      </c>
      <c r="G458" s="262"/>
      <c r="H458" s="262"/>
      <c r="I458" s="481"/>
      <c r="J458" s="482"/>
      <c r="K458" s="483"/>
      <c r="L458" s="393" t="str">
        <f t="array" aca="1" ref="L458" ca="1">IF($C458="","",OFFSET(INDIRECT("indicators_"&amp;programme_abbreviation&amp;"_OTCB"),MATCH($C458,INDIRECT("indicators_"&amp;programme_abbreviation&amp;"_OTCB"),0)-1,3))</f>
        <v/>
      </c>
      <c r="M458" s="258"/>
    </row>
    <row r="459" spans="2:13" ht="75" customHeight="1" x14ac:dyDescent="0.2">
      <c r="B459" s="250"/>
      <c r="C459" s="503"/>
      <c r="D459" s="503"/>
      <c r="E459" s="251" t="str">
        <f t="array" aca="1" ref="E459" ca="1">IF($C459="","",OFFSET(INDIRECT("indicators_"&amp;programme_abbreviation&amp;"_OTCB"),MATCH($C459,INDIRECT("indicators_"&amp;programme_abbreviation&amp;"_OTCB"),0)-1,2))</f>
        <v/>
      </c>
      <c r="F459" s="251" t="str">
        <f t="array" aca="1" ref="F459" ca="1">IF($C459="","",OFFSET(INDIRECT("indicators_"&amp;programme_abbreviation&amp;"_OTCB"),MATCH($C459,INDIRECT("indicators_"&amp;programme_abbreviation&amp;"_OTCB"),0)-1,1))</f>
        <v/>
      </c>
      <c r="G459" s="262"/>
      <c r="H459" s="262"/>
      <c r="I459" s="481"/>
      <c r="J459" s="482"/>
      <c r="K459" s="483"/>
      <c r="L459" s="393" t="str">
        <f t="array" aca="1" ref="L459" ca="1">IF($C459="","",OFFSET(INDIRECT("indicators_"&amp;programme_abbreviation&amp;"_OTCB"),MATCH($C459,INDIRECT("indicators_"&amp;programme_abbreviation&amp;"_OTCB"),0)-1,3))</f>
        <v/>
      </c>
      <c r="M459" s="258"/>
    </row>
    <row r="460" spans="2:13" ht="75" customHeight="1" x14ac:dyDescent="0.2">
      <c r="B460" s="250"/>
      <c r="C460" s="503"/>
      <c r="D460" s="503"/>
      <c r="E460" s="251" t="str">
        <f t="array" aca="1" ref="E460" ca="1">IF($C460="","",OFFSET(INDIRECT("indicators_"&amp;programme_abbreviation&amp;"_OTCB"),MATCH($C460,INDIRECT("indicators_"&amp;programme_abbreviation&amp;"_OTCB"),0)-1,2))</f>
        <v/>
      </c>
      <c r="F460" s="251" t="str">
        <f t="array" aca="1" ref="F460" ca="1">IF($C460="","",OFFSET(INDIRECT("indicators_"&amp;programme_abbreviation&amp;"_OTCB"),MATCH($C460,INDIRECT("indicators_"&amp;programme_abbreviation&amp;"_OTCB"),0)-1,1))</f>
        <v/>
      </c>
      <c r="G460" s="262"/>
      <c r="H460" s="262"/>
      <c r="I460" s="481"/>
      <c r="J460" s="482"/>
      <c r="K460" s="483"/>
      <c r="L460" s="393" t="str">
        <f t="array" aca="1" ref="L460" ca="1">IF($C460="","",OFFSET(INDIRECT("indicators_"&amp;programme_abbreviation&amp;"_OTCB"),MATCH($C460,INDIRECT("indicators_"&amp;programme_abbreviation&amp;"_OTCB"),0)-1,3))</f>
        <v/>
      </c>
      <c r="M460" s="258"/>
    </row>
    <row r="461" spans="2:13" ht="75" customHeight="1" x14ac:dyDescent="0.2">
      <c r="B461" s="250"/>
      <c r="C461" s="503"/>
      <c r="D461" s="503"/>
      <c r="E461" s="251" t="str">
        <f t="array" aca="1" ref="E461" ca="1">IF($C461="","",OFFSET(INDIRECT("indicators_"&amp;programme_abbreviation&amp;"_OTCB"),MATCH($C461,INDIRECT("indicators_"&amp;programme_abbreviation&amp;"_OTCB"),0)-1,2))</f>
        <v/>
      </c>
      <c r="F461" s="251" t="str">
        <f t="array" aca="1" ref="F461" ca="1">IF($C461="","",OFFSET(INDIRECT("indicators_"&amp;programme_abbreviation&amp;"_OTCB"),MATCH($C461,INDIRECT("indicators_"&amp;programme_abbreviation&amp;"_OTCB"),0)-1,1))</f>
        <v/>
      </c>
      <c r="G461" s="262"/>
      <c r="H461" s="262"/>
      <c r="I461" s="481"/>
      <c r="J461" s="482"/>
      <c r="K461" s="483"/>
      <c r="L461" s="393" t="str">
        <f t="array" aca="1" ref="L461" ca="1">IF($C461="","",OFFSET(INDIRECT("indicators_"&amp;programme_abbreviation&amp;"_OTCB"),MATCH($C461,INDIRECT("indicators_"&amp;programme_abbreviation&amp;"_OTCB"),0)-1,3))</f>
        <v/>
      </c>
      <c r="M461" s="258"/>
    </row>
    <row r="462" spans="2:13" ht="75" customHeight="1" x14ac:dyDescent="0.2">
      <c r="B462" s="250"/>
      <c r="C462" s="503"/>
      <c r="D462" s="503"/>
      <c r="E462" s="251" t="str">
        <f t="array" aca="1" ref="E462" ca="1">IF($C462="","",OFFSET(INDIRECT("indicators_"&amp;programme_abbreviation&amp;"_OTCB"),MATCH($C462,INDIRECT("indicators_"&amp;programme_abbreviation&amp;"_OTCB"),0)-1,2))</f>
        <v/>
      </c>
      <c r="F462" s="251" t="str">
        <f t="array" aca="1" ref="F462" ca="1">IF($C462="","",OFFSET(INDIRECT("indicators_"&amp;programme_abbreviation&amp;"_OTCB"),MATCH($C462,INDIRECT("indicators_"&amp;programme_abbreviation&amp;"_OTCB"),0)-1,1))</f>
        <v/>
      </c>
      <c r="G462" s="262"/>
      <c r="H462" s="262"/>
      <c r="I462" s="481"/>
      <c r="J462" s="482"/>
      <c r="K462" s="483"/>
      <c r="L462" s="393" t="str">
        <f t="array" aca="1" ref="L462" ca="1">IF($C462="","",OFFSET(INDIRECT("indicators_"&amp;programme_abbreviation&amp;"_OTCB"),MATCH($C462,INDIRECT("indicators_"&amp;programme_abbreviation&amp;"_OTCB"),0)-1,3))</f>
        <v/>
      </c>
      <c r="M462" s="258"/>
    </row>
    <row r="463" spans="2:13" ht="75" customHeight="1" x14ac:dyDescent="0.2">
      <c r="B463" s="250"/>
      <c r="C463" s="503"/>
      <c r="D463" s="503"/>
      <c r="E463" s="251" t="str">
        <f t="array" aca="1" ref="E463" ca="1">IF($C463="","",OFFSET(INDIRECT("indicators_"&amp;programme_abbreviation&amp;"_OTCB"),MATCH($C463,INDIRECT("indicators_"&amp;programme_abbreviation&amp;"_OTCB"),0)-1,2))</f>
        <v/>
      </c>
      <c r="F463" s="251" t="str">
        <f t="array" aca="1" ref="F463" ca="1">IF($C463="","",OFFSET(INDIRECT("indicators_"&amp;programme_abbreviation&amp;"_OTCB"),MATCH($C463,INDIRECT("indicators_"&amp;programme_abbreviation&amp;"_OTCB"),0)-1,1))</f>
        <v/>
      </c>
      <c r="G463" s="262"/>
      <c r="H463" s="262"/>
      <c r="I463" s="481"/>
      <c r="J463" s="482"/>
      <c r="K463" s="483"/>
      <c r="L463" s="393" t="str">
        <f t="array" aca="1" ref="L463" ca="1">IF($C463="","",OFFSET(INDIRECT("indicators_"&amp;programme_abbreviation&amp;"_OTCB"),MATCH($C463,INDIRECT("indicators_"&amp;programme_abbreviation&amp;"_OTCB"),0)-1,3))</f>
        <v/>
      </c>
      <c r="M463" s="258"/>
    </row>
    <row r="464" spans="2:13" ht="75" customHeight="1" x14ac:dyDescent="0.2">
      <c r="B464" s="250"/>
      <c r="C464" s="503"/>
      <c r="D464" s="503"/>
      <c r="E464" s="251" t="str">
        <f t="array" aca="1" ref="E464" ca="1">IF($C464="","",OFFSET(INDIRECT("indicators_"&amp;programme_abbreviation&amp;"_OTCB"),MATCH($C464,INDIRECT("indicators_"&amp;programme_abbreviation&amp;"_OTCB"),0)-1,2))</f>
        <v/>
      </c>
      <c r="F464" s="251" t="str">
        <f t="array" aca="1" ref="F464" ca="1">IF($C464="","",OFFSET(INDIRECT("indicators_"&amp;programme_abbreviation&amp;"_OTCB"),MATCH($C464,INDIRECT("indicators_"&amp;programme_abbreviation&amp;"_OTCB"),0)-1,1))</f>
        <v/>
      </c>
      <c r="G464" s="262"/>
      <c r="H464" s="262"/>
      <c r="I464" s="481"/>
      <c r="J464" s="482"/>
      <c r="K464" s="483"/>
      <c r="L464" s="393" t="str">
        <f t="array" aca="1" ref="L464" ca="1">IF($C464="","",OFFSET(INDIRECT("indicators_"&amp;programme_abbreviation&amp;"_OTCB"),MATCH($C464,INDIRECT("indicators_"&amp;programme_abbreviation&amp;"_OTCB"),0)-1,3))</f>
        <v/>
      </c>
      <c r="M464" s="258"/>
    </row>
    <row r="465" spans="2:15" customFormat="1" ht="7.5" customHeight="1" x14ac:dyDescent="0.2">
      <c r="B465" s="253"/>
      <c r="C465" s="254"/>
      <c r="D465" s="254"/>
      <c r="E465" s="254"/>
      <c r="F465" s="254"/>
      <c r="G465" s="254"/>
      <c r="H465" s="254"/>
      <c r="I465" s="254"/>
      <c r="J465" s="254"/>
      <c r="K465" s="254"/>
      <c r="L465" s="255"/>
      <c r="M465" s="241"/>
    </row>
    <row r="466" spans="2:15" s="78" customFormat="1" ht="23.25" customHeight="1" x14ac:dyDescent="0.2">
      <c r="B466" s="242" t="s">
        <v>1162</v>
      </c>
      <c r="L466" s="101"/>
    </row>
    <row r="467" spans="2:15" customFormat="1" ht="7.5" customHeight="1" x14ac:dyDescent="0.2">
      <c r="B467" s="241"/>
      <c r="M467" s="241"/>
    </row>
    <row r="468" spans="2:15" ht="32.25" customHeight="1" x14ac:dyDescent="0.2">
      <c r="B468" s="170"/>
      <c r="C468" s="516" t="s">
        <v>1155</v>
      </c>
      <c r="D468" s="517"/>
      <c r="E468" s="518"/>
      <c r="F468" s="519"/>
      <c r="G468" s="448" t="s">
        <v>1156</v>
      </c>
      <c r="H468" s="448" t="s">
        <v>1157</v>
      </c>
      <c r="I468" s="479" t="s">
        <v>1158</v>
      </c>
      <c r="J468" s="480"/>
      <c r="K468" s="480"/>
      <c r="L468" s="448" t="s">
        <v>146</v>
      </c>
    </row>
    <row r="469" spans="2:15" ht="75" customHeight="1" x14ac:dyDescent="0.2">
      <c r="B469" s="250"/>
      <c r="C469" s="523" t="s">
        <v>1002</v>
      </c>
      <c r="D469" s="524"/>
      <c r="E469" s="525"/>
      <c r="F469" s="526"/>
      <c r="G469" s="256">
        <v>0</v>
      </c>
      <c r="H469" s="262"/>
      <c r="I469" s="481"/>
      <c r="J469" s="482" t="s">
        <v>436</v>
      </c>
      <c r="K469" s="483"/>
      <c r="L469" s="393" t="s">
        <v>463</v>
      </c>
      <c r="M469" s="258"/>
      <c r="O469" s="219"/>
    </row>
    <row r="470" spans="2:15" ht="75" customHeight="1" x14ac:dyDescent="0.2">
      <c r="B470" s="250"/>
      <c r="C470" s="523" t="s">
        <v>1163</v>
      </c>
      <c r="D470" s="524"/>
      <c r="E470" s="525"/>
      <c r="F470" s="526"/>
      <c r="G470" s="256">
        <v>0</v>
      </c>
      <c r="H470" s="262"/>
      <c r="I470" s="481"/>
      <c r="J470" s="482" t="s">
        <v>437</v>
      </c>
      <c r="K470" s="483"/>
      <c r="L470" s="393" t="s">
        <v>464</v>
      </c>
      <c r="M470" s="258"/>
      <c r="O470" s="219"/>
    </row>
    <row r="471" spans="2:15" ht="75" customHeight="1" x14ac:dyDescent="0.2">
      <c r="B471" s="250"/>
      <c r="C471" s="523" t="s">
        <v>1004</v>
      </c>
      <c r="D471" s="524"/>
      <c r="E471" s="525"/>
      <c r="F471" s="526"/>
      <c r="G471" s="256">
        <v>0</v>
      </c>
      <c r="H471" s="262"/>
      <c r="I471" s="481"/>
      <c r="J471" s="482" t="s">
        <v>438</v>
      </c>
      <c r="K471" s="483"/>
      <c r="L471" s="393" t="s">
        <v>465</v>
      </c>
      <c r="M471" s="258"/>
      <c r="O471" s="219"/>
    </row>
    <row r="472" spans="2:15" ht="75" customHeight="1" x14ac:dyDescent="0.2">
      <c r="B472" s="250"/>
      <c r="C472" s="523" t="s">
        <v>1164</v>
      </c>
      <c r="D472" s="524"/>
      <c r="E472" s="525"/>
      <c r="F472" s="526"/>
      <c r="G472" s="256">
        <v>0</v>
      </c>
      <c r="H472" s="262"/>
      <c r="I472" s="481"/>
      <c r="J472" s="482" t="s">
        <v>439</v>
      </c>
      <c r="K472" s="483"/>
      <c r="L472" s="393" t="s">
        <v>466</v>
      </c>
      <c r="M472" s="258"/>
      <c r="O472" s="219"/>
    </row>
    <row r="473" spans="2:15" ht="75" customHeight="1" x14ac:dyDescent="0.2">
      <c r="B473" s="250"/>
      <c r="C473" s="523" t="s">
        <v>1006</v>
      </c>
      <c r="D473" s="524"/>
      <c r="E473" s="525"/>
      <c r="F473" s="526"/>
      <c r="G473" s="256">
        <v>0</v>
      </c>
      <c r="H473" s="262"/>
      <c r="I473" s="481"/>
      <c r="J473" s="482" t="s">
        <v>440</v>
      </c>
      <c r="K473" s="483"/>
      <c r="L473" s="393" t="s">
        <v>467</v>
      </c>
      <c r="M473" s="258"/>
      <c r="O473" s="219"/>
    </row>
    <row r="474" spans="2:15" ht="75" customHeight="1" x14ac:dyDescent="0.2">
      <c r="B474" s="250"/>
      <c r="C474" s="523" t="s">
        <v>1165</v>
      </c>
      <c r="D474" s="524"/>
      <c r="E474" s="525"/>
      <c r="F474" s="526"/>
      <c r="G474" s="256">
        <v>0</v>
      </c>
      <c r="H474" s="262"/>
      <c r="I474" s="481"/>
      <c r="J474" s="482" t="s">
        <v>441</v>
      </c>
      <c r="K474" s="483"/>
      <c r="L474" s="393" t="s">
        <v>468</v>
      </c>
      <c r="M474" s="258"/>
      <c r="O474" s="219"/>
    </row>
    <row r="475" spans="2:15" ht="75" customHeight="1" x14ac:dyDescent="0.2">
      <c r="B475" s="250"/>
      <c r="C475" s="523" t="s">
        <v>1007</v>
      </c>
      <c r="D475" s="524"/>
      <c r="E475" s="525"/>
      <c r="F475" s="526"/>
      <c r="G475" s="256">
        <v>0</v>
      </c>
      <c r="H475" s="262"/>
      <c r="I475" s="481"/>
      <c r="J475" s="482" t="s">
        <v>442</v>
      </c>
      <c r="K475" s="483"/>
      <c r="L475" s="393" t="s">
        <v>469</v>
      </c>
      <c r="M475" s="258"/>
      <c r="O475" s="219"/>
    </row>
    <row r="476" spans="2:15" s="78" customFormat="1" ht="23.25" customHeight="1" x14ac:dyDescent="0.2">
      <c r="B476" s="242" t="s">
        <v>1166</v>
      </c>
      <c r="L476" s="101"/>
    </row>
    <row r="477" spans="2:15" customFormat="1" ht="7.5" customHeight="1" x14ac:dyDescent="0.2">
      <c r="B477" s="241"/>
      <c r="M477" s="241"/>
    </row>
    <row r="478" spans="2:15" ht="32.25" customHeight="1" x14ac:dyDescent="0.2">
      <c r="B478" s="170"/>
      <c r="C478" s="479" t="s">
        <v>1155</v>
      </c>
      <c r="D478" s="503"/>
      <c r="E478" s="448" t="s">
        <v>226</v>
      </c>
      <c r="F478" s="448" t="s">
        <v>227</v>
      </c>
      <c r="G478" s="448" t="s">
        <v>1156</v>
      </c>
      <c r="H478" s="448" t="s">
        <v>1157</v>
      </c>
      <c r="I478" s="479" t="s">
        <v>1158</v>
      </c>
      <c r="J478" s="480"/>
      <c r="K478" s="480"/>
      <c r="L478" s="448" t="s">
        <v>146</v>
      </c>
    </row>
    <row r="479" spans="2:15" ht="75" customHeight="1" x14ac:dyDescent="0.2">
      <c r="B479" s="250"/>
      <c r="C479" s="530"/>
      <c r="D479" s="503"/>
      <c r="E479" s="444" t="s">
        <v>840</v>
      </c>
      <c r="F479" s="444" t="s">
        <v>683</v>
      </c>
      <c r="G479" s="256">
        <v>0</v>
      </c>
      <c r="H479" s="262"/>
      <c r="I479" s="481"/>
      <c r="J479" s="482"/>
      <c r="K479" s="483"/>
      <c r="L479" s="393" t="str">
        <f t="shared" ref="L479:L485" si="0">IF(ISBLANK(project_specific_indicator1),"",call_code&amp;"_"&amp;"PSI_IND"&amp;ROW(A1))</f>
        <v/>
      </c>
      <c r="M479" s="258"/>
    </row>
    <row r="480" spans="2:15" ht="75" customHeight="1" x14ac:dyDescent="0.2">
      <c r="B480" s="250"/>
      <c r="C480" s="531"/>
      <c r="D480" s="503"/>
      <c r="E480" s="444" t="s">
        <v>840</v>
      </c>
      <c r="F480" s="444" t="s">
        <v>683</v>
      </c>
      <c r="G480" s="256">
        <v>0</v>
      </c>
      <c r="H480" s="262"/>
      <c r="I480" s="481"/>
      <c r="J480" s="482" t="s">
        <v>443</v>
      </c>
      <c r="K480" s="483"/>
      <c r="L480" s="393" t="str">
        <f t="shared" si="0"/>
        <v/>
      </c>
      <c r="M480" s="258"/>
    </row>
    <row r="481" spans="2:14" ht="75" customHeight="1" x14ac:dyDescent="0.2">
      <c r="B481" s="250"/>
      <c r="C481" s="503"/>
      <c r="D481" s="503"/>
      <c r="E481" s="444" t="s">
        <v>840</v>
      </c>
      <c r="F481" s="444" t="s">
        <v>683</v>
      </c>
      <c r="G481" s="256">
        <v>0</v>
      </c>
      <c r="H481" s="262"/>
      <c r="I481" s="481"/>
      <c r="J481" s="482" t="s">
        <v>444</v>
      </c>
      <c r="K481" s="483"/>
      <c r="L481" s="393" t="str">
        <f t="shared" si="0"/>
        <v/>
      </c>
      <c r="M481" s="258"/>
    </row>
    <row r="482" spans="2:14" ht="75" customHeight="1" x14ac:dyDescent="0.2">
      <c r="B482" s="250"/>
      <c r="C482" s="503"/>
      <c r="D482" s="503"/>
      <c r="E482" s="444" t="s">
        <v>840</v>
      </c>
      <c r="F482" s="444" t="s">
        <v>683</v>
      </c>
      <c r="G482" s="256">
        <v>0</v>
      </c>
      <c r="H482" s="262"/>
      <c r="I482" s="481"/>
      <c r="J482" s="482" t="s">
        <v>445</v>
      </c>
      <c r="K482" s="483"/>
      <c r="L482" s="393" t="str">
        <f t="shared" si="0"/>
        <v/>
      </c>
      <c r="M482" s="258"/>
    </row>
    <row r="483" spans="2:14" ht="75" customHeight="1" x14ac:dyDescent="0.2">
      <c r="B483" s="250"/>
      <c r="C483" s="503"/>
      <c r="D483" s="503"/>
      <c r="E483" s="444" t="s">
        <v>840</v>
      </c>
      <c r="F483" s="444" t="s">
        <v>683</v>
      </c>
      <c r="G483" s="256">
        <v>0</v>
      </c>
      <c r="H483" s="262"/>
      <c r="I483" s="481"/>
      <c r="J483" s="482" t="s">
        <v>446</v>
      </c>
      <c r="K483" s="483"/>
      <c r="L483" s="393" t="str">
        <f t="shared" si="0"/>
        <v/>
      </c>
      <c r="M483" s="258"/>
    </row>
    <row r="484" spans="2:14" ht="75" customHeight="1" x14ac:dyDescent="0.2">
      <c r="B484" s="250"/>
      <c r="C484" s="503"/>
      <c r="D484" s="503"/>
      <c r="E484" s="444" t="s">
        <v>840</v>
      </c>
      <c r="F484" s="444" t="s">
        <v>683</v>
      </c>
      <c r="G484" s="256">
        <v>0</v>
      </c>
      <c r="H484" s="262"/>
      <c r="I484" s="481"/>
      <c r="J484" s="482" t="s">
        <v>447</v>
      </c>
      <c r="K484" s="483"/>
      <c r="L484" s="393" t="str">
        <f t="shared" si="0"/>
        <v/>
      </c>
      <c r="M484" s="258"/>
    </row>
    <row r="485" spans="2:14" ht="75" customHeight="1" x14ac:dyDescent="0.2">
      <c r="B485" s="250"/>
      <c r="C485" s="503"/>
      <c r="D485" s="503"/>
      <c r="E485" s="444" t="s">
        <v>840</v>
      </c>
      <c r="F485" s="444" t="s">
        <v>683</v>
      </c>
      <c r="G485" s="256">
        <v>0</v>
      </c>
      <c r="H485" s="262"/>
      <c r="I485" s="481"/>
      <c r="J485" s="482" t="s">
        <v>448</v>
      </c>
      <c r="K485" s="483"/>
      <c r="L485" s="393" t="str">
        <f t="shared" si="0"/>
        <v/>
      </c>
      <c r="M485" s="258"/>
    </row>
    <row r="486" spans="2:14" ht="28.5" customHeight="1" x14ac:dyDescent="0.2">
      <c r="B486" s="223"/>
      <c r="C486" s="224"/>
      <c r="D486" s="224"/>
      <c r="E486" s="224"/>
      <c r="F486" s="224"/>
      <c r="G486" s="224"/>
      <c r="H486" s="224"/>
      <c r="I486" s="224"/>
      <c r="J486" s="224"/>
      <c r="K486" s="224"/>
      <c r="L486" s="225"/>
    </row>
    <row r="487" spans="2:14" s="79" customFormat="1" ht="3.95" customHeight="1" x14ac:dyDescent="0.2">
      <c r="B487" s="5"/>
      <c r="C487" s="5"/>
      <c r="D487" s="5"/>
      <c r="E487" s="5"/>
      <c r="F487" s="5"/>
      <c r="G487" s="5"/>
      <c r="H487" s="5"/>
      <c r="I487" s="5"/>
      <c r="J487" s="5"/>
      <c r="K487" s="81"/>
      <c r="L487" s="81"/>
      <c r="N487" s="5"/>
    </row>
    <row r="488" spans="2:14" ht="18" customHeight="1" x14ac:dyDescent="0.2">
      <c r="B488" s="24" t="s">
        <v>1167</v>
      </c>
      <c r="C488" s="24"/>
      <c r="D488" s="25"/>
      <c r="E488" s="25"/>
      <c r="F488" s="25"/>
      <c r="G488" s="25"/>
      <c r="H488" s="25"/>
      <c r="I488" s="25"/>
      <c r="J488" s="25"/>
      <c r="K488" s="25"/>
      <c r="L488" s="26"/>
    </row>
    <row r="489" spans="2:14" ht="4.5" customHeight="1" x14ac:dyDescent="0.2">
      <c r="B489" s="1"/>
      <c r="C489" s="82"/>
      <c r="D489" s="83"/>
      <c r="E489" s="83"/>
      <c r="F489" s="83"/>
      <c r="G489" s="83"/>
      <c r="H489" s="83"/>
      <c r="I489" s="83"/>
      <c r="J489" s="83"/>
      <c r="K489" s="83"/>
      <c r="L489" s="6"/>
    </row>
    <row r="490" spans="2:14" ht="18" customHeight="1" x14ac:dyDescent="0.2">
      <c r="B490" s="185" t="s">
        <v>1168</v>
      </c>
      <c r="C490" s="82"/>
      <c r="D490" s="85"/>
      <c r="E490" s="83"/>
      <c r="F490" s="83"/>
      <c r="G490" s="83"/>
      <c r="H490" s="83"/>
      <c r="I490" s="83"/>
      <c r="J490" s="83"/>
      <c r="K490" s="83"/>
      <c r="L490" s="6"/>
    </row>
    <row r="491" spans="2:14" ht="4.5" customHeight="1" x14ac:dyDescent="0.2">
      <c r="B491" s="1"/>
      <c r="C491" s="82"/>
      <c r="D491" s="83"/>
      <c r="E491" s="83"/>
      <c r="F491" s="83"/>
      <c r="G491" s="83"/>
      <c r="H491" s="83"/>
      <c r="I491" s="83"/>
      <c r="J491" s="83"/>
      <c r="K491" s="83"/>
      <c r="L491" s="6"/>
    </row>
    <row r="492" spans="2:14" ht="18" customHeight="1" x14ac:dyDescent="0.2">
      <c r="B492" s="84"/>
      <c r="C492" s="177" t="s">
        <v>1169</v>
      </c>
      <c r="D492" s="177" t="s">
        <v>126</v>
      </c>
      <c r="E492" s="83"/>
      <c r="F492" s="83"/>
      <c r="G492" s="83"/>
      <c r="H492" s="83"/>
      <c r="I492" s="83"/>
      <c r="J492" s="178" t="s">
        <v>1170</v>
      </c>
      <c r="K492" s="83"/>
      <c r="L492" s="6"/>
    </row>
    <row r="493" spans="2:14" ht="4.5" customHeight="1" x14ac:dyDescent="0.2">
      <c r="B493" s="1"/>
      <c r="C493" s="82"/>
      <c r="D493" s="83"/>
      <c r="E493" s="83"/>
      <c r="F493" s="83"/>
      <c r="G493" s="83"/>
      <c r="H493" s="83"/>
      <c r="I493" s="83"/>
      <c r="J493" s="83"/>
      <c r="K493" s="83"/>
      <c r="L493" s="6"/>
    </row>
    <row r="494" spans="2:14" ht="27.75" customHeight="1" x14ac:dyDescent="0.2">
      <c r="B494" s="1"/>
      <c r="C494" s="265"/>
      <c r="D494" s="645"/>
      <c r="E494" s="646"/>
      <c r="F494" s="646"/>
      <c r="G494" s="646"/>
      <c r="H494" s="646"/>
      <c r="I494" s="647"/>
      <c r="J494" s="648" t="str">
        <f>IF(ISBLANK(project_sector_specified),"",VLOOKUP(project_sector_specified,project_sector_codes_table,2,FALSE))</f>
        <v/>
      </c>
      <c r="K494" s="649"/>
      <c r="L494" s="6"/>
    </row>
    <row r="495" spans="2:14" ht="4.5" customHeight="1" x14ac:dyDescent="0.2">
      <c r="B495" s="1"/>
      <c r="C495" s="82"/>
      <c r="D495" s="83"/>
      <c r="E495" s="83"/>
      <c r="F495" s="83"/>
      <c r="G495" s="83"/>
      <c r="H495" s="83"/>
      <c r="I495" s="83"/>
      <c r="J495" s="83"/>
      <c r="K495" s="83"/>
      <c r="L495" s="6"/>
    </row>
    <row r="496" spans="2:14" ht="18" customHeight="1" x14ac:dyDescent="0.2">
      <c r="B496" s="185" t="s">
        <v>1171</v>
      </c>
      <c r="C496" s="82"/>
      <c r="D496" s="83"/>
      <c r="E496" s="83"/>
      <c r="F496" s="83"/>
      <c r="G496" s="83"/>
      <c r="H496" s="83"/>
      <c r="I496" s="83"/>
      <c r="J496" s="83"/>
      <c r="K496" s="83"/>
      <c r="L496" s="6"/>
    </row>
    <row r="497" spans="2:12" ht="18" customHeight="1" x14ac:dyDescent="0.2">
      <c r="B497" s="1"/>
      <c r="C497" s="82"/>
      <c r="D497" s="476" t="s">
        <v>1172</v>
      </c>
      <c r="E497" s="477"/>
      <c r="F497" s="477"/>
      <c r="G497" s="477"/>
      <c r="H497" s="478"/>
      <c r="I497" s="520"/>
      <c r="J497" s="521"/>
      <c r="K497" s="522"/>
      <c r="L497" s="6"/>
    </row>
    <row r="498" spans="2:12" ht="18" customHeight="1" x14ac:dyDescent="0.2">
      <c r="B498" s="1"/>
      <c r="C498" s="82"/>
      <c r="D498" s="476" t="s">
        <v>1173</v>
      </c>
      <c r="E498" s="477"/>
      <c r="F498" s="477"/>
      <c r="G498" s="477"/>
      <c r="H498" s="478"/>
      <c r="I498" s="520"/>
      <c r="J498" s="521"/>
      <c r="K498" s="522"/>
      <c r="L498" s="6"/>
    </row>
    <row r="499" spans="2:12" ht="18" customHeight="1" x14ac:dyDescent="0.2">
      <c r="B499" s="1"/>
      <c r="C499" s="82"/>
      <c r="D499" s="476" t="s">
        <v>1174</v>
      </c>
      <c r="E499" s="477"/>
      <c r="F499" s="477"/>
      <c r="G499" s="477"/>
      <c r="H499" s="478"/>
      <c r="I499" s="520"/>
      <c r="J499" s="521"/>
      <c r="K499" s="522"/>
      <c r="L499" s="6"/>
    </row>
    <row r="500" spans="2:12" ht="18" customHeight="1" x14ac:dyDescent="0.2">
      <c r="B500" s="1"/>
      <c r="C500" s="82"/>
      <c r="D500" s="476" t="s">
        <v>1175</v>
      </c>
      <c r="E500" s="477"/>
      <c r="F500" s="477"/>
      <c r="G500" s="477"/>
      <c r="H500" s="478"/>
      <c r="I500" s="520"/>
      <c r="J500" s="521"/>
      <c r="K500" s="522"/>
      <c r="L500" s="6"/>
    </row>
    <row r="501" spans="2:12" ht="18" customHeight="1" x14ac:dyDescent="0.2">
      <c r="B501" s="1"/>
      <c r="C501" s="82"/>
      <c r="D501" s="476" t="s">
        <v>1176</v>
      </c>
      <c r="E501" s="477"/>
      <c r="F501" s="477"/>
      <c r="G501" s="477"/>
      <c r="H501" s="478"/>
      <c r="I501" s="520"/>
      <c r="J501" s="521"/>
      <c r="K501" s="522"/>
      <c r="L501" s="6"/>
    </row>
    <row r="502" spans="2:12" ht="18" customHeight="1" x14ac:dyDescent="0.2">
      <c r="B502" s="1"/>
      <c r="C502" s="82"/>
      <c r="D502" s="476" t="s">
        <v>1177</v>
      </c>
      <c r="E502" s="477"/>
      <c r="F502" s="477"/>
      <c r="G502" s="477"/>
      <c r="H502" s="478"/>
      <c r="I502" s="520"/>
      <c r="J502" s="521"/>
      <c r="K502" s="522"/>
      <c r="L502" s="6"/>
    </row>
    <row r="503" spans="2:12" ht="18" customHeight="1" x14ac:dyDescent="0.2">
      <c r="B503" s="1"/>
      <c r="C503" s="82"/>
      <c r="D503" s="476" t="s">
        <v>1178</v>
      </c>
      <c r="E503" s="477"/>
      <c r="F503" s="477"/>
      <c r="G503" s="477"/>
      <c r="H503" s="478"/>
      <c r="I503" s="520"/>
      <c r="J503" s="521"/>
      <c r="K503" s="522"/>
      <c r="L503" s="6"/>
    </row>
    <row r="504" spans="2:12" ht="5.25" customHeight="1" x14ac:dyDescent="0.2">
      <c r="B504" s="1"/>
      <c r="C504" s="82"/>
      <c r="D504" s="9"/>
      <c r="E504" s="9"/>
      <c r="F504" s="9"/>
      <c r="G504" s="9"/>
      <c r="H504" s="9"/>
      <c r="I504" s="86"/>
      <c r="J504" s="86"/>
      <c r="K504" s="86"/>
      <c r="L504" s="6"/>
    </row>
    <row r="505" spans="2:12" ht="18" customHeight="1" x14ac:dyDescent="0.2">
      <c r="B505" s="185" t="s">
        <v>1179</v>
      </c>
      <c r="C505" s="82"/>
      <c r="D505" s="10"/>
      <c r="E505" s="10"/>
      <c r="F505" s="10"/>
      <c r="G505" s="10"/>
      <c r="H505" s="10"/>
      <c r="I505" s="83"/>
      <c r="J505" s="83"/>
      <c r="K505" s="83"/>
      <c r="L505" s="6"/>
    </row>
    <row r="506" spans="2:12" ht="8.25" customHeight="1" x14ac:dyDescent="0.2">
      <c r="B506" s="1"/>
      <c r="C506" s="82"/>
      <c r="D506" s="10"/>
      <c r="E506" s="10"/>
      <c r="F506" s="10"/>
      <c r="G506" s="10"/>
      <c r="H506" s="10"/>
      <c r="I506" s="83"/>
      <c r="J506" s="83"/>
      <c r="K506" s="83"/>
      <c r="L506" s="6"/>
    </row>
    <row r="507" spans="2:12" ht="18" customHeight="1" x14ac:dyDescent="0.2">
      <c r="B507" s="1"/>
      <c r="C507" s="82"/>
      <c r="D507" s="10"/>
      <c r="E507" s="10"/>
      <c r="F507" s="449" t="s">
        <v>1180</v>
      </c>
      <c r="G507" s="504"/>
      <c r="H507" s="505"/>
      <c r="I507" s="505"/>
      <c r="J507" s="505"/>
      <c r="K507" s="505"/>
      <c r="L507" s="6"/>
    </row>
    <row r="508" spans="2:12" ht="18" customHeight="1" x14ac:dyDescent="0.2">
      <c r="B508" s="1"/>
      <c r="C508" s="82"/>
      <c r="D508" s="10"/>
      <c r="E508" s="10"/>
      <c r="F508" s="10"/>
      <c r="G508" s="10"/>
      <c r="H508" s="10"/>
      <c r="I508" s="83"/>
      <c r="J508" s="83"/>
      <c r="K508" s="83"/>
      <c r="L508" s="6"/>
    </row>
    <row r="509" spans="2:12" ht="18" customHeight="1" x14ac:dyDescent="0.2">
      <c r="B509" s="1"/>
      <c r="C509" s="82"/>
      <c r="D509" s="10"/>
      <c r="E509" s="10"/>
      <c r="F509" s="449" t="s">
        <v>1181</v>
      </c>
      <c r="G509" s="504"/>
      <c r="H509" s="505"/>
      <c r="I509" s="505"/>
      <c r="J509" s="505"/>
      <c r="K509" s="505"/>
      <c r="L509" s="385"/>
    </row>
    <row r="510" spans="2:12" ht="18" customHeight="1" x14ac:dyDescent="0.2">
      <c r="B510" s="1"/>
      <c r="C510" s="82"/>
      <c r="D510" s="10"/>
      <c r="E510" s="10"/>
      <c r="F510" s="10"/>
      <c r="G510" s="10"/>
      <c r="H510" s="10"/>
      <c r="I510" s="83"/>
      <c r="J510" s="83"/>
      <c r="K510" s="83"/>
      <c r="L510" s="385"/>
    </row>
    <row r="511" spans="2:12" ht="18" customHeight="1" x14ac:dyDescent="0.2">
      <c r="B511" s="1"/>
      <c r="C511" s="82"/>
      <c r="D511" s="10"/>
      <c r="E511" s="10"/>
      <c r="F511" s="449" t="s">
        <v>1182</v>
      </c>
      <c r="G511" s="504"/>
      <c r="H511" s="505"/>
      <c r="I511" s="505"/>
      <c r="J511" s="505"/>
      <c r="K511" s="505"/>
      <c r="L511" s="6"/>
    </row>
    <row r="512" spans="2:12" ht="9" customHeight="1" x14ac:dyDescent="0.2">
      <c r="B512" s="74"/>
      <c r="C512" s="87"/>
      <c r="D512" s="567"/>
      <c r="E512" s="567"/>
      <c r="F512" s="567"/>
      <c r="G512" s="567"/>
      <c r="H512" s="567"/>
      <c r="I512" s="567"/>
      <c r="J512" s="567"/>
      <c r="K512" s="567"/>
      <c r="L512" s="76"/>
    </row>
    <row r="513" spans="2:12" ht="18" customHeight="1" x14ac:dyDescent="0.2">
      <c r="B513" s="24" t="s">
        <v>1183</v>
      </c>
      <c r="C513" s="24"/>
      <c r="D513" s="25"/>
      <c r="E513" s="25"/>
      <c r="F513" s="25"/>
      <c r="G513" s="25"/>
      <c r="H513" s="25"/>
      <c r="I513" s="25"/>
      <c r="J513" s="25"/>
      <c r="K513" s="25"/>
      <c r="L513" s="26"/>
    </row>
    <row r="514" spans="2:12" ht="18" customHeight="1" x14ac:dyDescent="0.2">
      <c r="B514" s="185" t="s">
        <v>1187</v>
      </c>
      <c r="C514" s="82"/>
      <c r="D514" s="10"/>
      <c r="E514" s="10"/>
      <c r="F514" s="11"/>
      <c r="G514" s="88"/>
      <c r="H514" s="88"/>
      <c r="I514" s="88"/>
      <c r="J514" s="88"/>
      <c r="K514" s="88"/>
      <c r="L514" s="6"/>
    </row>
    <row r="515" spans="2:12" ht="18" customHeight="1" x14ac:dyDescent="0.2">
      <c r="B515" s="1"/>
      <c r="C515" s="82"/>
      <c r="D515" s="14"/>
      <c r="E515" s="10"/>
      <c r="F515" s="11"/>
      <c r="G515" s="14"/>
      <c r="H515" s="88"/>
      <c r="I515" s="88"/>
      <c r="J515" s="14"/>
      <c r="K515" s="88"/>
      <c r="L515" s="6"/>
    </row>
    <row r="516" spans="2:12" ht="18" customHeight="1" x14ac:dyDescent="0.2">
      <c r="B516" s="189"/>
      <c r="C516" s="486" t="s">
        <v>1184</v>
      </c>
      <c r="D516" s="487"/>
      <c r="E516" s="488" t="s">
        <v>126</v>
      </c>
      <c r="F516" s="489"/>
      <c r="G516" s="487"/>
      <c r="H516" s="226" t="s">
        <v>1185</v>
      </c>
      <c r="I516" s="227" t="s">
        <v>1186</v>
      </c>
      <c r="J516" s="206"/>
      <c r="K516" s="121"/>
      <c r="L516" s="122"/>
    </row>
    <row r="517" spans="2:12" ht="39" customHeight="1" x14ac:dyDescent="0.2">
      <c r="B517" s="189">
        <v>1</v>
      </c>
      <c r="C517" s="490"/>
      <c r="D517" s="491"/>
      <c r="E517" s="490"/>
      <c r="F517" s="491"/>
      <c r="G517" s="491"/>
      <c r="H517" s="204" t="str">
        <f>IF(ISERROR(VLOOKUP(E517,target_groups_intermeds_benefic_table,2,FALSE)),"",IF(VLOOKUP(E517,target_groups_intermeds_benefic_table,2,FALSE)=0,"",VLOOKUP(E517,target_groups_intermeds_benefic_table,2,FALSE)))</f>
        <v/>
      </c>
      <c r="I517" s="204" t="str">
        <f>IF(ISERROR(VLOOKUP(E517,target_groups_intermeds_benefic_table,3,FALSE)),"",IF(VLOOKUP(E517,target_groups_intermeds_benefic_table,3,FALSE)=0,"",VLOOKUP(E517,target_groups_intermeds_benefic_table,3,FALSE)))</f>
        <v/>
      </c>
      <c r="J517" s="206"/>
      <c r="K517" s="121"/>
      <c r="L517" s="122"/>
    </row>
    <row r="518" spans="2:12" ht="12.75" customHeight="1" x14ac:dyDescent="0.2">
      <c r="B518" s="189"/>
      <c r="C518" s="207"/>
      <c r="D518" s="208"/>
      <c r="E518" s="207"/>
      <c r="F518" s="209"/>
      <c r="G518" s="208"/>
      <c r="H518" s="205"/>
      <c r="I518" s="205"/>
      <c r="J518" s="206"/>
      <c r="K518" s="121"/>
      <c r="L518" s="122"/>
    </row>
    <row r="519" spans="2:12" ht="39" customHeight="1" x14ac:dyDescent="0.2">
      <c r="B519" s="189">
        <v>2</v>
      </c>
      <c r="C519" s="490"/>
      <c r="D519" s="491"/>
      <c r="E519" s="490"/>
      <c r="F519" s="491"/>
      <c r="G519" s="491"/>
      <c r="H519" s="204" t="str">
        <f>IF(ISERROR(VLOOKUP(E519,target_groups_intermeds_benefic_table,2,FALSE)),"",IF(VLOOKUP(E519,target_groups_intermeds_benefic_table,2,FALSE)=0,"",VLOOKUP(E519,target_groups_intermeds_benefic_table,2,FALSE)))</f>
        <v/>
      </c>
      <c r="I519" s="204" t="str">
        <f>IF(ISERROR(VLOOKUP(E519,target_groups_intermeds_benefic_table,3,FALSE)),"",IF(VLOOKUP(E519,target_groups_intermeds_benefic_table,3,FALSE)=0,"",VLOOKUP(E519,target_groups_intermeds_benefic_table,3,FALSE)))</f>
        <v/>
      </c>
      <c r="J519" s="206"/>
      <c r="K519" s="121"/>
      <c r="L519" s="122"/>
    </row>
    <row r="520" spans="2:12" ht="10.5" customHeight="1" x14ac:dyDescent="0.2">
      <c r="B520" s="189"/>
      <c r="C520" s="207"/>
      <c r="D520" s="208"/>
      <c r="E520" s="207"/>
      <c r="F520" s="209"/>
      <c r="G520" s="208"/>
      <c r="H520" s="205"/>
      <c r="I520" s="205"/>
      <c r="J520" s="206"/>
      <c r="K520" s="121"/>
      <c r="L520" s="122"/>
    </row>
    <row r="521" spans="2:12" ht="39" customHeight="1" x14ac:dyDescent="0.2">
      <c r="B521" s="189">
        <v>3</v>
      </c>
      <c r="C521" s="532"/>
      <c r="D521" s="534"/>
      <c r="E521" s="532"/>
      <c r="F521" s="533"/>
      <c r="G521" s="534"/>
      <c r="H521" s="204" t="str">
        <f>IF(ISERROR(VLOOKUP(E521,target_groups_intermeds_benefic_table,2,FALSE)),"",IF(VLOOKUP(E521,target_groups_intermeds_benefic_table,2,FALSE)=0,"",VLOOKUP(E521,target_groups_intermeds_benefic_table,2,FALSE)))</f>
        <v/>
      </c>
      <c r="I521" s="204" t="str">
        <f>IF(ISERROR(VLOOKUP(E521,target_groups_intermeds_benefic_table,3,FALSE)),"",IF(VLOOKUP(E521,target_groups_intermeds_benefic_table,3,FALSE)=0,"",VLOOKUP(E521,target_groups_intermeds_benefic_table,3,FALSE)))</f>
        <v/>
      </c>
      <c r="J521" s="206"/>
      <c r="K521" s="121"/>
      <c r="L521" s="122"/>
    </row>
    <row r="522" spans="2:12" ht="18" customHeight="1" x14ac:dyDescent="0.2">
      <c r="B522" s="1"/>
      <c r="C522" s="82"/>
      <c r="D522" s="10"/>
      <c r="E522" s="10"/>
      <c r="F522" s="11"/>
      <c r="G522" s="88"/>
      <c r="H522" s="88"/>
      <c r="I522" s="88"/>
      <c r="J522" s="88"/>
      <c r="K522" s="88"/>
      <c r="L522" s="6"/>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74"/>
      <c r="C531" s="89"/>
      <c r="D531" s="12"/>
      <c r="E531" s="12"/>
      <c r="F531" s="13"/>
      <c r="G531" s="90"/>
      <c r="H531" s="90"/>
      <c r="I531" s="90"/>
      <c r="J531" s="90"/>
      <c r="K531" s="90"/>
      <c r="L531" s="76"/>
    </row>
    <row r="532" spans="2:14" ht="18" customHeight="1" x14ac:dyDescent="0.2">
      <c r="B532" s="4"/>
      <c r="C532" s="82"/>
      <c r="D532" s="10"/>
      <c r="E532" s="10"/>
      <c r="F532" s="11"/>
      <c r="G532" s="88"/>
      <c r="H532" s="88"/>
      <c r="I532" s="88"/>
      <c r="J532" s="88"/>
      <c r="K532" s="88"/>
      <c r="L532" s="4"/>
    </row>
    <row r="533" spans="2:14" s="79" customFormat="1" ht="3.95" customHeight="1" x14ac:dyDescent="0.2">
      <c r="B533" s="5"/>
      <c r="C533" s="5"/>
      <c r="D533" s="5"/>
      <c r="E533" s="5"/>
      <c r="F533" s="5"/>
      <c r="G533" s="5"/>
      <c r="H533" s="5"/>
      <c r="I533" s="5"/>
      <c r="J533" s="5"/>
      <c r="K533" s="81"/>
      <c r="L533" s="81"/>
      <c r="N533" s="5"/>
    </row>
    <row r="534" spans="2:14" s="95" customFormat="1" ht="3.95" customHeight="1" x14ac:dyDescent="0.2">
      <c r="B534" s="94"/>
      <c r="E534" s="96"/>
      <c r="F534" s="96"/>
      <c r="G534" s="96"/>
      <c r="H534" s="96"/>
      <c r="I534" s="96"/>
      <c r="J534" s="96"/>
      <c r="K534" s="96"/>
      <c r="L534" s="97"/>
    </row>
    <row r="535" spans="2:14" s="95" customFormat="1" ht="3.95" customHeight="1" x14ac:dyDescent="0.2">
      <c r="B535" s="94"/>
      <c r="E535" s="96"/>
      <c r="F535" s="96"/>
      <c r="G535" s="96"/>
      <c r="H535" s="96"/>
      <c r="I535" s="96"/>
      <c r="J535" s="96"/>
      <c r="K535" s="96"/>
      <c r="L535" s="97"/>
    </row>
    <row r="536" spans="2:14" s="80" customFormat="1" ht="18" customHeight="1" x14ac:dyDescent="0.25">
      <c r="B536" s="98" t="s">
        <v>1188</v>
      </c>
      <c r="C536" s="99"/>
      <c r="D536" s="16"/>
      <c r="E536" s="16"/>
      <c r="F536" s="16"/>
      <c r="G536" s="16"/>
      <c r="H536" s="16"/>
      <c r="I536" s="16"/>
      <c r="J536" s="16"/>
      <c r="K536" s="16"/>
      <c r="L536" s="16"/>
    </row>
    <row r="537" spans="2:14" ht="18" customHeight="1" x14ac:dyDescent="0.2">
      <c r="B537" s="100" t="s">
        <v>1189</v>
      </c>
      <c r="C537" s="25"/>
      <c r="D537" s="25"/>
      <c r="E537" s="25"/>
      <c r="F537" s="25"/>
      <c r="G537" s="25"/>
      <c r="H537" s="25"/>
      <c r="I537" s="25"/>
      <c r="J537" s="25"/>
      <c r="K537" s="25"/>
      <c r="L537" s="26"/>
    </row>
    <row r="538" spans="2:14" ht="18" customHeight="1" x14ac:dyDescent="0.2">
      <c r="B538" s="180"/>
      <c r="C538" s="131"/>
      <c r="D538" s="131"/>
      <c r="E538" s="131"/>
      <c r="F538" s="131"/>
      <c r="G538" s="131"/>
      <c r="H538" s="131"/>
      <c r="I538" s="131"/>
      <c r="J538" s="131"/>
      <c r="K538" s="131"/>
      <c r="L538" s="179"/>
    </row>
    <row r="539" spans="2:14" ht="18" customHeight="1" x14ac:dyDescent="0.2">
      <c r="B539" s="180"/>
      <c r="C539" s="131"/>
      <c r="D539" s="131"/>
      <c r="E539" s="131"/>
      <c r="F539" s="131"/>
      <c r="G539" s="131"/>
      <c r="H539" s="131"/>
      <c r="I539" s="131"/>
      <c r="J539" s="131"/>
      <c r="K539" s="131"/>
      <c r="L539" s="179"/>
    </row>
    <row r="540" spans="2:14" ht="18" customHeight="1" x14ac:dyDescent="0.2">
      <c r="B540" s="180"/>
      <c r="C540" s="131"/>
      <c r="D540" s="131"/>
      <c r="E540" s="131"/>
      <c r="F540" s="131"/>
      <c r="G540" s="131"/>
      <c r="H540" s="131"/>
      <c r="I540" s="131"/>
      <c r="J540" s="131"/>
      <c r="K540" s="131"/>
      <c r="L540" s="179"/>
    </row>
    <row r="541" spans="2:14" ht="18" customHeight="1" x14ac:dyDescent="0.2">
      <c r="B541" s="180"/>
      <c r="C541" s="131"/>
      <c r="D541" s="131"/>
      <c r="E541" s="131"/>
      <c r="F541" s="131"/>
      <c r="G541" s="131"/>
      <c r="H541" s="131"/>
      <c r="I541" s="131"/>
      <c r="J541" s="131"/>
      <c r="K541" s="131"/>
      <c r="L541" s="179"/>
    </row>
    <row r="542" spans="2:14" ht="18" customHeight="1" x14ac:dyDescent="0.2">
      <c r="B542" s="180"/>
      <c r="C542" s="131"/>
      <c r="D542" s="131"/>
      <c r="E542" s="131"/>
      <c r="F542" s="131"/>
      <c r="G542" s="131"/>
      <c r="H542" s="131"/>
      <c r="I542" s="131"/>
      <c r="J542" s="131"/>
      <c r="K542" s="131"/>
      <c r="L542" s="179"/>
    </row>
    <row r="543" spans="2:14" ht="18" customHeight="1" x14ac:dyDescent="0.2">
      <c r="B543" s="180"/>
      <c r="C543" s="131"/>
      <c r="D543" s="131"/>
      <c r="E543" s="131"/>
      <c r="F543" s="131"/>
      <c r="G543" s="131"/>
      <c r="H543" s="131"/>
      <c r="I543" s="131"/>
      <c r="J543" s="131"/>
      <c r="K543" s="131"/>
      <c r="L543" s="179"/>
    </row>
    <row r="544" spans="2:14" ht="18" customHeight="1" x14ac:dyDescent="0.2">
      <c r="B544" s="180"/>
      <c r="C544" s="131"/>
      <c r="D544" s="131"/>
      <c r="E544" s="131"/>
      <c r="F544" s="131"/>
      <c r="G544" s="131"/>
      <c r="H544" s="131"/>
      <c r="I544" s="131"/>
      <c r="J544" s="131"/>
      <c r="K544" s="131"/>
      <c r="L544" s="179"/>
    </row>
    <row r="545" spans="2:12" ht="18" customHeight="1" x14ac:dyDescent="0.2">
      <c r="B545" s="180"/>
      <c r="C545" s="131"/>
      <c r="D545" s="131"/>
      <c r="E545" s="131"/>
      <c r="F545" s="131"/>
      <c r="G545" s="131"/>
      <c r="H545" s="131"/>
      <c r="I545" s="131"/>
      <c r="J545" s="131"/>
      <c r="K545" s="131"/>
      <c r="L545" s="179"/>
    </row>
    <row r="546" spans="2:12" ht="18" customHeight="1" x14ac:dyDescent="0.2">
      <c r="B546" s="180"/>
      <c r="C546" s="131"/>
      <c r="D546" s="131"/>
      <c r="E546" s="131"/>
      <c r="F546" s="131"/>
      <c r="G546" s="131"/>
      <c r="H546" s="131"/>
      <c r="I546" s="131"/>
      <c r="J546" s="131"/>
      <c r="K546" s="131"/>
      <c r="L546" s="179"/>
    </row>
    <row r="547" spans="2:12" ht="18" customHeight="1" x14ac:dyDescent="0.2">
      <c r="B547" s="180"/>
      <c r="C547" s="131"/>
      <c r="D547" s="131"/>
      <c r="E547" s="131"/>
      <c r="F547" s="131"/>
      <c r="G547" s="131"/>
      <c r="H547" s="131"/>
      <c r="I547" s="131"/>
      <c r="J547" s="131"/>
      <c r="K547" s="131"/>
      <c r="L547" s="179"/>
    </row>
    <row r="548" spans="2:12" ht="18" customHeight="1" x14ac:dyDescent="0.2">
      <c r="B548" s="180"/>
      <c r="C548" s="131"/>
      <c r="D548" s="131"/>
      <c r="E548" s="131"/>
      <c r="F548" s="131"/>
      <c r="G548" s="131"/>
      <c r="H548" s="131"/>
      <c r="I548" s="131"/>
      <c r="J548" s="131"/>
      <c r="K548" s="131"/>
      <c r="L548" s="179"/>
    </row>
    <row r="549" spans="2:12" ht="18" customHeight="1" x14ac:dyDescent="0.2">
      <c r="B549" s="180"/>
      <c r="C549" s="131"/>
      <c r="D549" s="131"/>
      <c r="E549" s="131"/>
      <c r="F549" s="131"/>
      <c r="G549" s="131"/>
      <c r="H549" s="131"/>
      <c r="I549" s="131"/>
      <c r="J549" s="131"/>
      <c r="K549" s="131"/>
      <c r="L549" s="179"/>
    </row>
    <row r="550" spans="2:12" ht="18" customHeight="1" x14ac:dyDescent="0.2">
      <c r="B550" s="180"/>
      <c r="C550" s="131"/>
      <c r="D550" s="131"/>
      <c r="E550" s="131"/>
      <c r="F550" s="131"/>
      <c r="G550" s="131"/>
      <c r="H550" s="131"/>
      <c r="I550" s="131"/>
      <c r="J550" s="131"/>
      <c r="K550" s="131"/>
      <c r="L550" s="179"/>
    </row>
    <row r="551" spans="2:12" ht="18" customHeight="1" x14ac:dyDescent="0.2">
      <c r="B551" s="180"/>
      <c r="C551" s="131"/>
      <c r="D551" s="131"/>
      <c r="E551" s="131"/>
      <c r="F551" s="131"/>
      <c r="G551" s="131"/>
      <c r="H551" s="131"/>
      <c r="I551" s="131"/>
      <c r="J551" s="131"/>
      <c r="K551" s="131"/>
      <c r="L551" s="179"/>
    </row>
    <row r="552" spans="2:12" ht="18" customHeight="1" x14ac:dyDescent="0.2">
      <c r="B552" s="180"/>
      <c r="C552" s="131"/>
      <c r="D552" s="131"/>
      <c r="E552" s="131"/>
      <c r="F552" s="131"/>
      <c r="G552" s="131"/>
      <c r="H552" s="131"/>
      <c r="I552" s="131"/>
      <c r="J552" s="131"/>
      <c r="K552" s="131"/>
      <c r="L552" s="179"/>
    </row>
    <row r="553" spans="2:12" ht="18" customHeight="1" x14ac:dyDescent="0.2">
      <c r="B553" s="180"/>
      <c r="C553" s="131"/>
      <c r="D553" s="131"/>
      <c r="E553" s="131"/>
      <c r="F553" s="131"/>
      <c r="G553" s="131"/>
      <c r="H553" s="131"/>
      <c r="I553" s="131"/>
      <c r="J553" s="131"/>
      <c r="K553" s="131"/>
      <c r="L553" s="179"/>
    </row>
    <row r="554" spans="2:12" ht="18" customHeight="1" x14ac:dyDescent="0.2">
      <c r="B554" s="180"/>
      <c r="C554" s="131"/>
      <c r="D554" s="131"/>
      <c r="E554" s="131"/>
      <c r="F554" s="131"/>
      <c r="G554" s="131"/>
      <c r="H554" s="131"/>
      <c r="I554" s="131"/>
      <c r="J554" s="131"/>
      <c r="K554" s="131"/>
      <c r="L554" s="179"/>
    </row>
    <row r="555" spans="2:12" ht="18" customHeight="1" x14ac:dyDescent="0.2">
      <c r="B555" s="180"/>
      <c r="C555" s="131"/>
      <c r="D555" s="131"/>
      <c r="E555" s="131"/>
      <c r="F555" s="131"/>
      <c r="G555" s="131"/>
      <c r="H555" s="131"/>
      <c r="I555" s="131"/>
      <c r="J555" s="131"/>
      <c r="K555" s="131"/>
      <c r="L555" s="179"/>
    </row>
    <row r="556" spans="2:12" ht="18" customHeight="1" x14ac:dyDescent="0.2">
      <c r="B556" s="180"/>
      <c r="C556" s="131"/>
      <c r="D556" s="131"/>
      <c r="E556" s="131"/>
      <c r="F556" s="131"/>
      <c r="G556" s="131"/>
      <c r="H556" s="131"/>
      <c r="I556" s="131"/>
      <c r="J556" s="131"/>
      <c r="K556" s="131"/>
      <c r="L556" s="179"/>
    </row>
    <row r="557" spans="2:12" ht="18" customHeight="1" x14ac:dyDescent="0.2">
      <c r="B557" s="180"/>
      <c r="C557" s="131"/>
      <c r="D557" s="131"/>
      <c r="E557" s="131"/>
      <c r="F557" s="131"/>
      <c r="G557" s="131"/>
      <c r="H557" s="131"/>
      <c r="I557" s="131"/>
      <c r="J557" s="131"/>
      <c r="K557" s="131"/>
      <c r="L557" s="179"/>
    </row>
    <row r="558" spans="2:12" ht="18" customHeight="1" x14ac:dyDescent="0.2">
      <c r="B558" s="180"/>
      <c r="C558" s="131"/>
      <c r="D558" s="131"/>
      <c r="E558" s="131"/>
      <c r="F558" s="131"/>
      <c r="G558" s="131"/>
      <c r="H558" s="131"/>
      <c r="I558" s="131"/>
      <c r="J558" s="131"/>
      <c r="K558" s="131"/>
      <c r="L558" s="179"/>
    </row>
    <row r="559" spans="2:12" ht="18" customHeight="1" x14ac:dyDescent="0.2">
      <c r="B559" s="180"/>
      <c r="C559" s="131"/>
      <c r="D559" s="131"/>
      <c r="E559" s="131"/>
      <c r="F559" s="131"/>
      <c r="G559" s="131"/>
      <c r="H559" s="131"/>
      <c r="I559" s="131"/>
      <c r="J559" s="131"/>
      <c r="K559" s="131"/>
      <c r="L559" s="179"/>
    </row>
    <row r="560" spans="2:12" ht="18" customHeight="1" x14ac:dyDescent="0.2">
      <c r="B560" s="174"/>
      <c r="C560" s="172"/>
      <c r="D560" s="175"/>
      <c r="E560" s="175"/>
      <c r="F560" s="175"/>
      <c r="G560" s="175"/>
      <c r="H560" s="175"/>
      <c r="I560" s="175"/>
      <c r="J560" s="175"/>
      <c r="K560" s="175"/>
      <c r="L560" s="176"/>
    </row>
    <row r="561" spans="2:13" s="78" customFormat="1" ht="18" customHeight="1" x14ac:dyDescent="0.2"/>
    <row r="562" spans="2:13" ht="18" customHeight="1" x14ac:dyDescent="0.2">
      <c r="B562" s="100" t="s">
        <v>1191</v>
      </c>
      <c r="C562" s="25"/>
      <c r="D562" s="25"/>
      <c r="E562" s="25"/>
      <c r="F562" s="25"/>
      <c r="G562" s="25"/>
      <c r="H562" s="25"/>
      <c r="I562" s="25"/>
      <c r="J562" s="25"/>
      <c r="K562" s="25"/>
      <c r="L562" s="26"/>
    </row>
    <row r="563" spans="2:13" s="78" customFormat="1" ht="13.5" customHeight="1" x14ac:dyDescent="0.2">
      <c r="B563" s="182"/>
      <c r="C563" s="118"/>
      <c r="D563" s="118"/>
      <c r="E563" s="118"/>
      <c r="F563" s="118"/>
      <c r="G563" s="118"/>
      <c r="H563" s="118"/>
      <c r="I563" s="118"/>
      <c r="J563" s="118"/>
      <c r="K563" s="118"/>
      <c r="L563" s="183"/>
      <c r="M563" s="97"/>
    </row>
    <row r="564" spans="2:13" s="78" customFormat="1" ht="18" customHeight="1" x14ac:dyDescent="0.2">
      <c r="B564" s="185" t="s">
        <v>1190</v>
      </c>
      <c r="C564" s="118"/>
      <c r="D564" s="500" t="s">
        <v>32</v>
      </c>
      <c r="E564" s="500"/>
      <c r="F564" s="500" t="s">
        <v>33</v>
      </c>
      <c r="G564" s="500"/>
      <c r="H564" s="500" t="s">
        <v>34</v>
      </c>
      <c r="I564" s="500"/>
      <c r="J564" s="500" t="s">
        <v>35</v>
      </c>
      <c r="K564" s="500"/>
      <c r="L564" s="183"/>
      <c r="M564" s="97"/>
    </row>
    <row r="565" spans="2:13" s="78" customFormat="1" ht="35.25" customHeight="1" x14ac:dyDescent="0.2">
      <c r="B565" s="501" t="s">
        <v>1192</v>
      </c>
      <c r="C565" s="502"/>
      <c r="D565" s="564"/>
      <c r="E565" s="485"/>
      <c r="F565" s="564"/>
      <c r="G565" s="485"/>
      <c r="H565" s="484"/>
      <c r="I565" s="485"/>
      <c r="J565" s="484"/>
      <c r="K565" s="485"/>
      <c r="L565" s="183"/>
      <c r="M565" s="97"/>
    </row>
    <row r="566" spans="2:13" s="78" customFormat="1" ht="35.25" customHeight="1" x14ac:dyDescent="0.2">
      <c r="B566" s="501" t="s">
        <v>1193</v>
      </c>
      <c r="C566" s="502"/>
      <c r="D566" s="484"/>
      <c r="E566" s="485"/>
      <c r="F566" s="484"/>
      <c r="G566" s="485"/>
      <c r="H566" s="484"/>
      <c r="I566" s="485"/>
      <c r="J566" s="484"/>
      <c r="K566" s="485"/>
      <c r="L566" s="183"/>
      <c r="M566" s="97"/>
    </row>
    <row r="567" spans="2:13" s="78" customFormat="1" ht="35.25" customHeight="1" x14ac:dyDescent="0.2">
      <c r="B567" s="501" t="s">
        <v>1194</v>
      </c>
      <c r="C567" s="502"/>
      <c r="D567" s="484"/>
      <c r="E567" s="485"/>
      <c r="F567" s="484"/>
      <c r="G567" s="485"/>
      <c r="H567" s="484"/>
      <c r="I567" s="485"/>
      <c r="J567" s="484"/>
      <c r="K567" s="485"/>
      <c r="L567" s="183"/>
      <c r="M567" s="97"/>
    </row>
    <row r="568" spans="2:13" s="78" customFormat="1" ht="35.25" customHeight="1" x14ac:dyDescent="0.2">
      <c r="B568" s="184"/>
      <c r="C568" s="450" t="s">
        <v>1195</v>
      </c>
      <c r="D568" s="484"/>
      <c r="E568" s="485"/>
      <c r="F568" s="484"/>
      <c r="G568" s="485"/>
      <c r="H568" s="484"/>
      <c r="I568" s="485"/>
      <c r="J568" s="484"/>
      <c r="K568" s="485"/>
      <c r="L568" s="183"/>
      <c r="M568" s="97"/>
    </row>
    <row r="569" spans="2:13" s="78" customFormat="1" ht="35.25" customHeight="1" x14ac:dyDescent="0.2">
      <c r="B569" s="184"/>
      <c r="C569" s="450" t="s">
        <v>1196</v>
      </c>
      <c r="D569" s="484"/>
      <c r="E569" s="485"/>
      <c r="F569" s="484"/>
      <c r="G569" s="485"/>
      <c r="H569" s="484"/>
      <c r="I569" s="485"/>
      <c r="J569" s="484"/>
      <c r="K569" s="485"/>
      <c r="L569" s="183"/>
      <c r="M569" s="97"/>
    </row>
    <row r="570" spans="2:13" s="78" customFormat="1" ht="35.25" customHeight="1" x14ac:dyDescent="0.2">
      <c r="B570" s="184"/>
      <c r="C570" s="451" t="s">
        <v>1197</v>
      </c>
      <c r="D570" s="484"/>
      <c r="E570" s="485"/>
      <c r="F570" s="484"/>
      <c r="G570" s="485"/>
      <c r="H570" s="484"/>
      <c r="I570" s="485"/>
      <c r="J570" s="484"/>
      <c r="K570" s="485"/>
      <c r="L570" s="183"/>
      <c r="M570" s="97"/>
    </row>
    <row r="571" spans="2:13" s="78" customFormat="1" ht="35.25" customHeight="1" x14ac:dyDescent="0.2">
      <c r="B571" s="513" t="s">
        <v>1198</v>
      </c>
      <c r="C571" s="514"/>
      <c r="D571" s="564"/>
      <c r="E571" s="494"/>
      <c r="F571" s="564"/>
      <c r="G571" s="485"/>
      <c r="H571" s="484"/>
      <c r="I571" s="485"/>
      <c r="J571" s="484"/>
      <c r="K571" s="485"/>
      <c r="L571" s="183"/>
      <c r="M571" s="97"/>
    </row>
    <row r="572" spans="2:13" s="78" customFormat="1" ht="18" customHeight="1" x14ac:dyDescent="0.2">
      <c r="B572" s="182"/>
      <c r="C572" s="118"/>
      <c r="D572" s="535"/>
      <c r="E572" s="535"/>
      <c r="F572" s="535"/>
      <c r="G572" s="535"/>
      <c r="H572" s="535"/>
      <c r="I572" s="535"/>
      <c r="J572" s="535"/>
      <c r="K572" s="535"/>
      <c r="L572" s="183"/>
      <c r="M572" s="97"/>
    </row>
    <row r="573" spans="2:13" s="78" customFormat="1" ht="18" customHeight="1" x14ac:dyDescent="0.2">
      <c r="B573" s="185" t="s">
        <v>1199</v>
      </c>
      <c r="C573" s="118"/>
      <c r="D573" s="500" t="s">
        <v>32</v>
      </c>
      <c r="E573" s="500"/>
      <c r="F573" s="500" t="s">
        <v>33</v>
      </c>
      <c r="G573" s="500"/>
      <c r="H573" s="500" t="s">
        <v>34</v>
      </c>
      <c r="I573" s="500"/>
      <c r="J573" s="500" t="s">
        <v>35</v>
      </c>
      <c r="K573" s="500"/>
      <c r="L573" s="183"/>
      <c r="M573" s="97"/>
    </row>
    <row r="574" spans="2:13" s="78" customFormat="1" ht="31.5" customHeight="1" x14ac:dyDescent="0.2">
      <c r="B574" s="501" t="s">
        <v>1116</v>
      </c>
      <c r="C574" s="502"/>
      <c r="D574" s="484"/>
      <c r="E574" s="485"/>
      <c r="F574" s="484"/>
      <c r="G574" s="485"/>
      <c r="H574" s="484"/>
      <c r="I574" s="485"/>
      <c r="J574" s="484"/>
      <c r="K574" s="485"/>
      <c r="L574" s="183"/>
      <c r="M574" s="97"/>
    </row>
    <row r="575" spans="2:13" s="78" customFormat="1" ht="31.5" customHeight="1" x14ac:dyDescent="0.2">
      <c r="B575" s="501" t="s">
        <v>1200</v>
      </c>
      <c r="C575" s="502"/>
      <c r="D575" s="484"/>
      <c r="E575" s="485"/>
      <c r="F575" s="484"/>
      <c r="G575" s="485"/>
      <c r="H575" s="484"/>
      <c r="I575" s="485"/>
      <c r="J575" s="484"/>
      <c r="K575" s="485"/>
      <c r="L575" s="183"/>
      <c r="M575" s="97"/>
    </row>
    <row r="576" spans="2:13" s="78" customFormat="1" ht="31.5" customHeight="1" x14ac:dyDescent="0.2">
      <c r="B576" s="501" t="s">
        <v>1118</v>
      </c>
      <c r="C576" s="502"/>
      <c r="D576" s="484"/>
      <c r="E576" s="485"/>
      <c r="F576" s="484"/>
      <c r="G576" s="485"/>
      <c r="H576" s="484"/>
      <c r="I576" s="485"/>
      <c r="J576" s="484"/>
      <c r="K576" s="485"/>
      <c r="L576" s="183"/>
      <c r="M576" s="97"/>
    </row>
    <row r="577" spans="2:13" s="78" customFormat="1" ht="31.5" customHeight="1" x14ac:dyDescent="0.2">
      <c r="B577" s="501" t="s">
        <v>1119</v>
      </c>
      <c r="C577" s="565"/>
      <c r="D577" s="484"/>
      <c r="E577" s="485"/>
      <c r="F577" s="484"/>
      <c r="G577" s="485"/>
      <c r="H577" s="484"/>
      <c r="I577" s="485"/>
      <c r="J577" s="484"/>
      <c r="K577" s="485"/>
      <c r="L577" s="183"/>
      <c r="M577" s="97"/>
    </row>
    <row r="578" spans="2:13" s="78" customFormat="1" ht="31.5" customHeight="1" x14ac:dyDescent="0.2">
      <c r="B578" s="501" t="s">
        <v>1201</v>
      </c>
      <c r="C578" s="502"/>
      <c r="D578" s="484"/>
      <c r="E578" s="485"/>
      <c r="F578" s="484"/>
      <c r="G578" s="485"/>
      <c r="H578" s="484"/>
      <c r="I578" s="485"/>
      <c r="J578" s="484"/>
      <c r="K578" s="485"/>
      <c r="L578" s="183"/>
      <c r="M578" s="97"/>
    </row>
    <row r="579" spans="2:13" s="78" customFormat="1" ht="31.5" customHeight="1" x14ac:dyDescent="0.2">
      <c r="B579" s="501" t="s">
        <v>1120</v>
      </c>
      <c r="C579" s="502"/>
      <c r="D579" s="484"/>
      <c r="E579" s="485"/>
      <c r="F579" s="484"/>
      <c r="G579" s="485"/>
      <c r="H579" s="484"/>
      <c r="I579" s="485"/>
      <c r="J579" s="484"/>
      <c r="K579" s="485"/>
      <c r="L579" s="183"/>
      <c r="M579" s="97"/>
    </row>
    <row r="580" spans="2:13" s="78" customFormat="1" ht="18" customHeight="1" x14ac:dyDescent="0.2">
      <c r="B580" s="182"/>
      <c r="C580" s="118"/>
      <c r="D580" s="535"/>
      <c r="E580" s="535"/>
      <c r="F580" s="535"/>
      <c r="G580" s="535"/>
      <c r="H580" s="535"/>
      <c r="I580" s="535"/>
      <c r="J580" s="535"/>
      <c r="K580" s="535"/>
      <c r="L580" s="183"/>
      <c r="M580" s="97"/>
    </row>
    <row r="581" spans="2:13" s="78" customFormat="1" ht="18" customHeight="1" x14ac:dyDescent="0.2">
      <c r="B581" s="185" t="s">
        <v>1202</v>
      </c>
      <c r="C581" s="118"/>
      <c r="D581" s="500" t="s">
        <v>32</v>
      </c>
      <c r="E581" s="500"/>
      <c r="F581" s="500" t="s">
        <v>33</v>
      </c>
      <c r="G581" s="500"/>
      <c r="H581" s="500" t="s">
        <v>34</v>
      </c>
      <c r="I581" s="500"/>
      <c r="J581" s="500" t="s">
        <v>35</v>
      </c>
      <c r="K581" s="500"/>
      <c r="L581" s="183"/>
      <c r="M581" s="97"/>
    </row>
    <row r="582" spans="2:13" s="78" customFormat="1" ht="31.5" customHeight="1" x14ac:dyDescent="0.2">
      <c r="B582" s="501" t="s">
        <v>1124</v>
      </c>
      <c r="C582" s="502"/>
      <c r="D582" s="484"/>
      <c r="E582" s="485"/>
      <c r="F582" s="484"/>
      <c r="G582" s="485"/>
      <c r="H582" s="484"/>
      <c r="I582" s="485"/>
      <c r="J582" s="484"/>
      <c r="K582" s="485"/>
      <c r="L582" s="183"/>
      <c r="M582" s="97"/>
    </row>
    <row r="583" spans="2:13" s="78" customFormat="1" ht="31.5" customHeight="1" x14ac:dyDescent="0.2">
      <c r="B583" s="501" t="s">
        <v>1203</v>
      </c>
      <c r="C583" s="502"/>
      <c r="D583" s="484"/>
      <c r="E583" s="485"/>
      <c r="F583" s="484"/>
      <c r="G583" s="485"/>
      <c r="H583" s="484"/>
      <c r="I583" s="485"/>
      <c r="J583" s="484"/>
      <c r="K583" s="485"/>
      <c r="L583" s="183"/>
      <c r="M583" s="97"/>
    </row>
    <row r="584" spans="2:13" s="78" customFormat="1" ht="31.5" customHeight="1" x14ac:dyDescent="0.2">
      <c r="B584" s="538" t="s">
        <v>79</v>
      </c>
      <c r="C584" s="502"/>
      <c r="D584" s="484"/>
      <c r="E584" s="485"/>
      <c r="F584" s="484"/>
      <c r="G584" s="485"/>
      <c r="H584" s="484"/>
      <c r="I584" s="485"/>
      <c r="J584" s="484"/>
      <c r="K584" s="485"/>
      <c r="L584" s="183"/>
      <c r="M584" s="97"/>
    </row>
    <row r="585" spans="2:13" s="78" customFormat="1" ht="31.5" customHeight="1" x14ac:dyDescent="0.2">
      <c r="B585" s="501" t="s">
        <v>1129</v>
      </c>
      <c r="C585" s="565"/>
      <c r="D585" s="536"/>
      <c r="E585" s="537"/>
      <c r="F585" s="536"/>
      <c r="G585" s="537"/>
      <c r="H585" s="536"/>
      <c r="I585" s="537"/>
      <c r="J585" s="536"/>
      <c r="K585" s="537"/>
      <c r="L585" s="183"/>
      <c r="M585" s="97"/>
    </row>
    <row r="586" spans="2:13" s="78" customFormat="1" ht="31.5" customHeight="1" x14ac:dyDescent="0.2">
      <c r="B586" s="501" t="s">
        <v>1130</v>
      </c>
      <c r="C586" s="502"/>
      <c r="D586" s="536"/>
      <c r="E586" s="537"/>
      <c r="F586" s="536"/>
      <c r="G586" s="537"/>
      <c r="H586" s="536"/>
      <c r="I586" s="537"/>
      <c r="J586" s="536"/>
      <c r="K586" s="537"/>
      <c r="L586" s="183"/>
      <c r="M586" s="97"/>
    </row>
    <row r="587" spans="2:13" s="78" customFormat="1" ht="18" customHeight="1" x14ac:dyDescent="0.2">
      <c r="B587" s="182"/>
      <c r="C587" s="118"/>
      <c r="D587" s="535"/>
      <c r="E587" s="535"/>
      <c r="F587" s="535"/>
      <c r="G587" s="535"/>
      <c r="H587" s="535"/>
      <c r="I587" s="535"/>
      <c r="J587" s="535"/>
      <c r="K587" s="535"/>
      <c r="L587" s="183"/>
      <c r="M587" s="97"/>
    </row>
    <row r="588" spans="2:13" s="78" customFormat="1" ht="18" customHeight="1" x14ac:dyDescent="0.2">
      <c r="B588" s="185" t="s">
        <v>1204</v>
      </c>
      <c r="C588" s="118"/>
      <c r="D588" s="500" t="s">
        <v>32</v>
      </c>
      <c r="E588" s="500"/>
      <c r="F588" s="500" t="s">
        <v>33</v>
      </c>
      <c r="G588" s="500"/>
      <c r="H588" s="500" t="s">
        <v>34</v>
      </c>
      <c r="I588" s="500"/>
      <c r="J588" s="500" t="s">
        <v>35</v>
      </c>
      <c r="K588" s="500"/>
      <c r="L588" s="183"/>
      <c r="M588" s="97"/>
    </row>
    <row r="589" spans="2:13" s="78" customFormat="1" ht="31.5" customHeight="1" x14ac:dyDescent="0.2">
      <c r="B589" s="501" t="s">
        <v>1205</v>
      </c>
      <c r="C589" s="502"/>
      <c r="D589" s="561" t="str">
        <f>IF(grant_requested_partner1&gt;0,Lists!V2,Lists!V3)</f>
        <v>Nie</v>
      </c>
      <c r="E589" s="562"/>
      <c r="F589" s="561" t="str">
        <f>IF(grant_requested_partner2&gt;0,Lists!$V$2,Lists!$V$3)</f>
        <v>Nie</v>
      </c>
      <c r="G589" s="562"/>
      <c r="H589" s="561" t="str">
        <f>IF(grant_requested_partner3&gt;0,Lists!$V$2,Lists!$V$3)</f>
        <v>Nie</v>
      </c>
      <c r="I589" s="562"/>
      <c r="J589" s="561" t="str">
        <f>IF(grant_requested_partner4&gt;0,Lists!$V$2,Lists!$V$3)</f>
        <v>Nie</v>
      </c>
      <c r="K589" s="562"/>
      <c r="L589" s="183"/>
      <c r="M589" s="97"/>
    </row>
    <row r="590" spans="2:13" s="78" customFormat="1" ht="31.5" customHeight="1" x14ac:dyDescent="0.2">
      <c r="B590" s="501" t="s">
        <v>1206</v>
      </c>
      <c r="C590" s="502"/>
      <c r="D590" s="561" t="str">
        <f>IF(in_kind_partner1+cash_cofinancing_partner1&gt;0,Lists!V2,Lists!V3)</f>
        <v>Nie</v>
      </c>
      <c r="E590" s="562"/>
      <c r="F590" s="561" t="str">
        <f>IF(in_kind_partner2+cash_cofinancing_partner2&gt;0,Lists!V2,Lists!V3)</f>
        <v>Nie</v>
      </c>
      <c r="G590" s="562"/>
      <c r="H590" s="561" t="str">
        <f>IF(in_kind_partner3+cash_cofinancing_partner3&gt;0,Lists!V2,Lists!V3)</f>
        <v>Nie</v>
      </c>
      <c r="I590" s="562"/>
      <c r="J590" s="561" t="str">
        <f>IF(in_kind_partner4+cash_cofinancing_partner4&gt;0,Lists!V2,Lists!V3)</f>
        <v>Nie</v>
      </c>
      <c r="K590" s="562"/>
      <c r="L590" s="183"/>
      <c r="M590" s="97"/>
    </row>
    <row r="591" spans="2:13" s="78" customFormat="1" ht="31.5" customHeight="1" x14ac:dyDescent="0.2">
      <c r="B591" s="501" t="s">
        <v>1207</v>
      </c>
      <c r="C591" s="502"/>
      <c r="D591" s="484"/>
      <c r="E591" s="485"/>
      <c r="F591" s="484"/>
      <c r="G591" s="485"/>
      <c r="H591" s="484"/>
      <c r="I591" s="485"/>
      <c r="J591" s="484"/>
      <c r="K591" s="485"/>
      <c r="L591" s="183"/>
      <c r="M591" s="97"/>
    </row>
    <row r="592" spans="2:13" s="78" customFormat="1" ht="31.5" customHeight="1" x14ac:dyDescent="0.2">
      <c r="B592" s="501" t="s">
        <v>1208</v>
      </c>
      <c r="C592" s="502"/>
      <c r="D592" s="484"/>
      <c r="E592" s="485"/>
      <c r="F592" s="484"/>
      <c r="G592" s="485"/>
      <c r="H592" s="484"/>
      <c r="I592" s="485"/>
      <c r="J592" s="484"/>
      <c r="K592" s="485"/>
      <c r="L592" s="183"/>
      <c r="M592" s="97"/>
    </row>
    <row r="593" spans="2:13" s="78" customFormat="1" ht="16.5" customHeight="1" x14ac:dyDescent="0.2">
      <c r="B593" s="103"/>
      <c r="C593" s="104"/>
      <c r="D593" s="104"/>
      <c r="E593" s="104"/>
      <c r="F593" s="104"/>
      <c r="G593" s="104"/>
      <c r="H593" s="104"/>
      <c r="I593" s="104"/>
      <c r="J593" s="104"/>
      <c r="K593" s="104"/>
      <c r="L593" s="105"/>
      <c r="M593" s="97"/>
    </row>
    <row r="594" spans="2:13" s="78" customFormat="1" ht="16.5" customHeight="1" x14ac:dyDescent="0.2"/>
    <row r="595" spans="2:13" s="78" customFormat="1" ht="16.5" customHeight="1" x14ac:dyDescent="0.2">
      <c r="B595" s="104"/>
      <c r="C595" s="104"/>
      <c r="D595" s="104"/>
      <c r="E595" s="104"/>
      <c r="F595" s="104"/>
      <c r="G595" s="104"/>
      <c r="H595" s="104"/>
      <c r="I595" s="104"/>
      <c r="J595" s="104"/>
      <c r="K595" s="104"/>
      <c r="L595" s="104"/>
      <c r="M595" s="97"/>
    </row>
    <row r="596" spans="2:13" ht="18" customHeight="1" x14ac:dyDescent="0.2">
      <c r="B596" s="100" t="s">
        <v>1433</v>
      </c>
      <c r="C596" s="25"/>
      <c r="D596" s="25"/>
      <c r="E596" s="25"/>
      <c r="F596" s="25"/>
      <c r="G596" s="25"/>
      <c r="H596" s="25"/>
      <c r="I596" s="25"/>
      <c r="J596" s="25"/>
      <c r="K596" s="25"/>
      <c r="L596" s="26"/>
    </row>
    <row r="597" spans="2:13" s="78" customFormat="1" ht="12" customHeight="1" x14ac:dyDescent="0.2">
      <c r="B597" s="102"/>
      <c r="C597" s="97"/>
      <c r="D597" s="97"/>
      <c r="E597" s="97"/>
      <c r="F597" s="97"/>
      <c r="G597" s="97"/>
      <c r="H597" s="97"/>
      <c r="I597" s="97"/>
      <c r="J597" s="97"/>
      <c r="K597" s="97"/>
      <c r="L597" s="101"/>
      <c r="M597" s="97"/>
    </row>
    <row r="598" spans="2:13" s="78" customFormat="1" ht="12" customHeight="1" x14ac:dyDescent="0.2">
      <c r="B598" s="498" t="s">
        <v>1209</v>
      </c>
      <c r="C598" s="499"/>
      <c r="D598" s="563" t="s">
        <v>149</v>
      </c>
      <c r="E598" s="563"/>
      <c r="F598" s="563"/>
      <c r="G598" s="563"/>
      <c r="H598" s="563"/>
      <c r="I598" s="563"/>
      <c r="J598" s="563"/>
      <c r="K598" s="563"/>
      <c r="L598" s="101"/>
      <c r="M598" s="97"/>
    </row>
    <row r="599" spans="2:13" s="78" customFormat="1" ht="12" customHeight="1" x14ac:dyDescent="0.2">
      <c r="B599" s="498"/>
      <c r="C599" s="499"/>
      <c r="D599" s="563"/>
      <c r="E599" s="563"/>
      <c r="F599" s="563"/>
      <c r="G599" s="563"/>
      <c r="H599" s="563"/>
      <c r="I599" s="563"/>
      <c r="J599" s="563"/>
      <c r="K599" s="563"/>
      <c r="L599" s="101"/>
      <c r="M599" s="97"/>
    </row>
    <row r="600" spans="2:13" s="78" customFormat="1" ht="12" customHeight="1" x14ac:dyDescent="0.2">
      <c r="B600" s="498"/>
      <c r="C600" s="499"/>
      <c r="D600" s="563"/>
      <c r="E600" s="563"/>
      <c r="F600" s="563"/>
      <c r="G600" s="563"/>
      <c r="H600" s="563"/>
      <c r="I600" s="563"/>
      <c r="J600" s="563"/>
      <c r="K600" s="563"/>
      <c r="L600" s="101"/>
      <c r="M600" s="97"/>
    </row>
    <row r="601" spans="2:13" s="78" customFormat="1" ht="12" customHeight="1" x14ac:dyDescent="0.2">
      <c r="B601" s="498"/>
      <c r="C601" s="499"/>
      <c r="D601" s="563"/>
      <c r="E601" s="563"/>
      <c r="F601" s="563"/>
      <c r="G601" s="563"/>
      <c r="H601" s="563"/>
      <c r="I601" s="563"/>
      <c r="J601" s="563"/>
      <c r="K601" s="563"/>
      <c r="L601" s="101"/>
      <c r="M601" s="97"/>
    </row>
    <row r="602" spans="2:13" s="78" customFormat="1" ht="12" customHeight="1" x14ac:dyDescent="0.2">
      <c r="B602" s="498"/>
      <c r="C602" s="499"/>
      <c r="D602" s="563"/>
      <c r="E602" s="563"/>
      <c r="F602" s="563"/>
      <c r="G602" s="563"/>
      <c r="H602" s="563"/>
      <c r="I602" s="563"/>
      <c r="J602" s="563"/>
      <c r="K602" s="563"/>
      <c r="L602" s="101"/>
      <c r="M602" s="97"/>
    </row>
    <row r="603" spans="2:13" s="78" customFormat="1" ht="12" customHeight="1" x14ac:dyDescent="0.2">
      <c r="B603" s="498"/>
      <c r="C603" s="499"/>
      <c r="D603" s="563"/>
      <c r="E603" s="563"/>
      <c r="F603" s="563"/>
      <c r="G603" s="563"/>
      <c r="H603" s="563"/>
      <c r="I603" s="563"/>
      <c r="J603" s="563"/>
      <c r="K603" s="563"/>
      <c r="L603" s="101"/>
      <c r="M603" s="97"/>
    </row>
    <row r="604" spans="2:13" s="78" customFormat="1" ht="12" customHeight="1" x14ac:dyDescent="0.2">
      <c r="B604" s="498"/>
      <c r="C604" s="499"/>
      <c r="D604" s="563"/>
      <c r="E604" s="563"/>
      <c r="F604" s="563"/>
      <c r="G604" s="563"/>
      <c r="H604" s="563"/>
      <c r="I604" s="563"/>
      <c r="J604" s="563"/>
      <c r="K604" s="563"/>
      <c r="L604" s="101"/>
      <c r="M604" s="97"/>
    </row>
    <row r="605" spans="2:13" s="78" customFormat="1" ht="12" customHeight="1" x14ac:dyDescent="0.2">
      <c r="B605" s="498"/>
      <c r="C605" s="499"/>
      <c r="D605" s="563"/>
      <c r="E605" s="563"/>
      <c r="F605" s="563"/>
      <c r="G605" s="563"/>
      <c r="H605" s="563"/>
      <c r="I605" s="563"/>
      <c r="J605" s="563"/>
      <c r="K605" s="563"/>
      <c r="L605" s="101"/>
      <c r="M605" s="97"/>
    </row>
    <row r="606" spans="2:13" s="78" customFormat="1" ht="12" customHeight="1" x14ac:dyDescent="0.2">
      <c r="B606" s="498"/>
      <c r="C606" s="499"/>
      <c r="D606" s="563"/>
      <c r="E606" s="563"/>
      <c r="F606" s="563"/>
      <c r="G606" s="563"/>
      <c r="H606" s="563"/>
      <c r="I606" s="563"/>
      <c r="J606" s="563"/>
      <c r="K606" s="563"/>
      <c r="L606" s="101"/>
      <c r="M606" s="97"/>
    </row>
    <row r="607" spans="2:13" s="78" customFormat="1" ht="12" customHeight="1" x14ac:dyDescent="0.2">
      <c r="B607" s="498"/>
      <c r="C607" s="499"/>
      <c r="D607" s="563"/>
      <c r="E607" s="563"/>
      <c r="F607" s="563"/>
      <c r="G607" s="563"/>
      <c r="H607" s="563"/>
      <c r="I607" s="563"/>
      <c r="J607" s="563"/>
      <c r="K607" s="563"/>
      <c r="L607" s="101"/>
      <c r="M607" s="97"/>
    </row>
    <row r="608" spans="2:13" s="78" customFormat="1" ht="12" customHeight="1" x14ac:dyDescent="0.2">
      <c r="B608" s="498"/>
      <c r="C608" s="499"/>
      <c r="D608" s="563"/>
      <c r="E608" s="563"/>
      <c r="F608" s="563"/>
      <c r="G608" s="563"/>
      <c r="H608" s="563"/>
      <c r="I608" s="563"/>
      <c r="J608" s="563"/>
      <c r="K608" s="563"/>
      <c r="L608" s="101"/>
      <c r="M608" s="97"/>
    </row>
    <row r="609" spans="2:13" s="78" customFormat="1" ht="12" customHeight="1" x14ac:dyDescent="0.2">
      <c r="B609" s="498"/>
      <c r="C609" s="499"/>
      <c r="D609" s="563"/>
      <c r="E609" s="563"/>
      <c r="F609" s="563"/>
      <c r="G609" s="563"/>
      <c r="H609" s="563"/>
      <c r="I609" s="563"/>
      <c r="J609" s="563"/>
      <c r="K609" s="563"/>
      <c r="L609" s="101"/>
      <c r="M609" s="97"/>
    </row>
    <row r="610" spans="2:13" s="78" customFormat="1" ht="12" customHeight="1" x14ac:dyDescent="0.2">
      <c r="B610" s="102"/>
      <c r="C610" s="97"/>
      <c r="D610" s="97"/>
      <c r="E610" s="97"/>
      <c r="F610" s="97"/>
      <c r="G610" s="97"/>
      <c r="H610" s="97"/>
      <c r="I610" s="97"/>
      <c r="J610" s="97"/>
      <c r="K610" s="97"/>
      <c r="L610" s="101"/>
      <c r="M610" s="97"/>
    </row>
    <row r="611" spans="2:13" s="78" customFormat="1" ht="12" customHeight="1" x14ac:dyDescent="0.2">
      <c r="B611" s="498" t="s">
        <v>1210</v>
      </c>
      <c r="C611" s="499"/>
      <c r="D611" s="515"/>
      <c r="E611" s="515"/>
      <c r="F611" s="515"/>
      <c r="G611" s="515"/>
      <c r="H611" s="515"/>
      <c r="I611" s="515"/>
      <c r="J611" s="515"/>
      <c r="K611" s="515"/>
      <c r="L611" s="101"/>
      <c r="M611" s="97"/>
    </row>
    <row r="612" spans="2:13" s="78" customFormat="1" ht="12" customHeight="1" x14ac:dyDescent="0.2">
      <c r="B612" s="498"/>
      <c r="C612" s="499"/>
      <c r="D612" s="515"/>
      <c r="E612" s="515"/>
      <c r="F612" s="515"/>
      <c r="G612" s="515"/>
      <c r="H612" s="515"/>
      <c r="I612" s="515"/>
      <c r="J612" s="515"/>
      <c r="K612" s="515"/>
      <c r="L612" s="101"/>
      <c r="M612" s="97"/>
    </row>
    <row r="613" spans="2:13" s="78" customFormat="1" ht="12" customHeight="1" x14ac:dyDescent="0.2">
      <c r="B613" s="498"/>
      <c r="C613" s="499"/>
      <c r="D613" s="515"/>
      <c r="E613" s="515"/>
      <c r="F613" s="515"/>
      <c r="G613" s="515"/>
      <c r="H613" s="515"/>
      <c r="I613" s="515"/>
      <c r="J613" s="515"/>
      <c r="K613" s="515"/>
      <c r="L613" s="101"/>
      <c r="M613" s="97"/>
    </row>
    <row r="614" spans="2:13" s="78" customFormat="1" ht="12" customHeight="1" x14ac:dyDescent="0.2">
      <c r="B614" s="498"/>
      <c r="C614" s="499"/>
      <c r="D614" s="515"/>
      <c r="E614" s="515"/>
      <c r="F614" s="515"/>
      <c r="G614" s="515"/>
      <c r="H614" s="515"/>
      <c r="I614" s="515"/>
      <c r="J614" s="515"/>
      <c r="K614" s="515"/>
      <c r="L614" s="101"/>
      <c r="M614" s="97"/>
    </row>
    <row r="615" spans="2:13" s="78" customFormat="1" ht="12" customHeight="1" x14ac:dyDescent="0.2">
      <c r="B615" s="498"/>
      <c r="C615" s="499"/>
      <c r="D615" s="515"/>
      <c r="E615" s="515"/>
      <c r="F615" s="515"/>
      <c r="G615" s="515"/>
      <c r="H615" s="515"/>
      <c r="I615" s="515"/>
      <c r="J615" s="515"/>
      <c r="K615" s="515"/>
      <c r="L615" s="101"/>
      <c r="M615" s="97"/>
    </row>
    <row r="616" spans="2:13" s="78" customFormat="1" ht="12" customHeight="1" x14ac:dyDescent="0.2">
      <c r="B616" s="498"/>
      <c r="C616" s="499"/>
      <c r="D616" s="515"/>
      <c r="E616" s="515"/>
      <c r="F616" s="515"/>
      <c r="G616" s="515"/>
      <c r="H616" s="515"/>
      <c r="I616" s="515"/>
      <c r="J616" s="515"/>
      <c r="K616" s="515"/>
      <c r="L616" s="101"/>
      <c r="M616" s="97"/>
    </row>
    <row r="617" spans="2:13" s="78" customFormat="1" ht="12" customHeight="1" x14ac:dyDescent="0.2">
      <c r="B617" s="498"/>
      <c r="C617" s="499"/>
      <c r="D617" s="515"/>
      <c r="E617" s="515"/>
      <c r="F617" s="515"/>
      <c r="G617" s="515"/>
      <c r="H617" s="515"/>
      <c r="I617" s="515"/>
      <c r="J617" s="515"/>
      <c r="K617" s="515"/>
      <c r="L617" s="101"/>
      <c r="M617" s="97"/>
    </row>
    <row r="618" spans="2:13" s="78" customFormat="1" ht="12" customHeight="1" x14ac:dyDescent="0.2">
      <c r="B618" s="498"/>
      <c r="C618" s="499"/>
      <c r="D618" s="515"/>
      <c r="E618" s="515"/>
      <c r="F618" s="515"/>
      <c r="G618" s="515"/>
      <c r="H618" s="515"/>
      <c r="I618" s="515"/>
      <c r="J618" s="515"/>
      <c r="K618" s="515"/>
      <c r="L618" s="101"/>
      <c r="M618" s="97"/>
    </row>
    <row r="619" spans="2:13" s="78" customFormat="1" ht="12" customHeight="1" x14ac:dyDescent="0.2">
      <c r="B619" s="498"/>
      <c r="C619" s="499"/>
      <c r="D619" s="515"/>
      <c r="E619" s="515"/>
      <c r="F619" s="515"/>
      <c r="G619" s="515"/>
      <c r="H619" s="515"/>
      <c r="I619" s="515"/>
      <c r="J619" s="515"/>
      <c r="K619" s="515"/>
      <c r="L619" s="101"/>
      <c r="M619" s="97"/>
    </row>
    <row r="620" spans="2:13" s="78" customFormat="1" ht="12" customHeight="1" x14ac:dyDescent="0.2">
      <c r="B620" s="498"/>
      <c r="C620" s="499"/>
      <c r="D620" s="515"/>
      <c r="E620" s="515"/>
      <c r="F620" s="515"/>
      <c r="G620" s="515"/>
      <c r="H620" s="515"/>
      <c r="I620" s="515"/>
      <c r="J620" s="515"/>
      <c r="K620" s="515"/>
      <c r="L620" s="101"/>
      <c r="M620" s="97"/>
    </row>
    <row r="621" spans="2:13" s="78" customFormat="1" ht="12" customHeight="1" x14ac:dyDescent="0.2">
      <c r="B621" s="498"/>
      <c r="C621" s="499"/>
      <c r="D621" s="515"/>
      <c r="E621" s="515"/>
      <c r="F621" s="515"/>
      <c r="G621" s="515"/>
      <c r="H621" s="515"/>
      <c r="I621" s="515"/>
      <c r="J621" s="515"/>
      <c r="K621" s="515"/>
      <c r="L621" s="101"/>
      <c r="M621" s="97"/>
    </row>
    <row r="622" spans="2:13" s="78" customFormat="1" ht="12" customHeight="1" x14ac:dyDescent="0.2">
      <c r="B622" s="498"/>
      <c r="C622" s="499"/>
      <c r="D622" s="515"/>
      <c r="E622" s="515"/>
      <c r="F622" s="515"/>
      <c r="G622" s="515"/>
      <c r="H622" s="515"/>
      <c r="I622" s="515"/>
      <c r="J622" s="515"/>
      <c r="K622" s="515"/>
      <c r="L622" s="101"/>
      <c r="M622" s="97"/>
    </row>
    <row r="623" spans="2:13" s="78" customFormat="1" ht="12" customHeight="1" x14ac:dyDescent="0.2">
      <c r="B623" s="102"/>
      <c r="C623" s="97"/>
      <c r="D623" s="97"/>
      <c r="E623" s="97"/>
      <c r="F623" s="97"/>
      <c r="G623" s="97"/>
      <c r="H623" s="97"/>
      <c r="I623" s="97"/>
      <c r="J623" s="97"/>
      <c r="K623" s="97"/>
      <c r="L623" s="101"/>
      <c r="M623" s="97"/>
    </row>
    <row r="624" spans="2:13" s="78" customFormat="1" ht="12" customHeight="1" x14ac:dyDescent="0.2">
      <c r="B624" s="498" t="s">
        <v>1211</v>
      </c>
      <c r="C624" s="499"/>
      <c r="D624" s="515"/>
      <c r="E624" s="515"/>
      <c r="F624" s="515"/>
      <c r="G624" s="515"/>
      <c r="H624" s="515"/>
      <c r="I624" s="515"/>
      <c r="J624" s="515"/>
      <c r="K624" s="515"/>
      <c r="L624" s="101"/>
      <c r="M624" s="97"/>
    </row>
    <row r="625" spans="2:13" s="78" customFormat="1" ht="12" customHeight="1" x14ac:dyDescent="0.2">
      <c r="B625" s="498"/>
      <c r="C625" s="499"/>
      <c r="D625" s="515"/>
      <c r="E625" s="515"/>
      <c r="F625" s="515"/>
      <c r="G625" s="515"/>
      <c r="H625" s="515"/>
      <c r="I625" s="515"/>
      <c r="J625" s="515"/>
      <c r="K625" s="515"/>
      <c r="L625" s="101"/>
      <c r="M625" s="97"/>
    </row>
    <row r="626" spans="2:13" s="78" customFormat="1" ht="12" customHeight="1" x14ac:dyDescent="0.2">
      <c r="B626" s="498"/>
      <c r="C626" s="499"/>
      <c r="D626" s="515"/>
      <c r="E626" s="515"/>
      <c r="F626" s="515"/>
      <c r="G626" s="515"/>
      <c r="H626" s="515"/>
      <c r="I626" s="515"/>
      <c r="J626" s="515"/>
      <c r="K626" s="515"/>
      <c r="L626" s="101"/>
      <c r="M626" s="97"/>
    </row>
    <row r="627" spans="2:13" s="78" customFormat="1" ht="12" customHeight="1" x14ac:dyDescent="0.2">
      <c r="B627" s="498"/>
      <c r="C627" s="499"/>
      <c r="D627" s="515"/>
      <c r="E627" s="515"/>
      <c r="F627" s="515"/>
      <c r="G627" s="515"/>
      <c r="H627" s="515"/>
      <c r="I627" s="515"/>
      <c r="J627" s="515"/>
      <c r="K627" s="515"/>
      <c r="L627" s="101"/>
      <c r="M627" s="97"/>
    </row>
    <row r="628" spans="2:13" s="78" customFormat="1" ht="12" customHeight="1" x14ac:dyDescent="0.2">
      <c r="B628" s="498"/>
      <c r="C628" s="499"/>
      <c r="D628" s="515"/>
      <c r="E628" s="515"/>
      <c r="F628" s="515"/>
      <c r="G628" s="515"/>
      <c r="H628" s="515"/>
      <c r="I628" s="515"/>
      <c r="J628" s="515"/>
      <c r="K628" s="515"/>
      <c r="L628" s="101"/>
      <c r="M628" s="97"/>
    </row>
    <row r="629" spans="2:13" s="78" customFormat="1" ht="12" customHeight="1" x14ac:dyDescent="0.2">
      <c r="B629" s="498"/>
      <c r="C629" s="499"/>
      <c r="D629" s="515"/>
      <c r="E629" s="515"/>
      <c r="F629" s="515"/>
      <c r="G629" s="515"/>
      <c r="H629" s="515"/>
      <c r="I629" s="515"/>
      <c r="J629" s="515"/>
      <c r="K629" s="515"/>
      <c r="L629" s="101"/>
      <c r="M629" s="97"/>
    </row>
    <row r="630" spans="2:13" s="78" customFormat="1" ht="12" customHeight="1" x14ac:dyDescent="0.2">
      <c r="B630" s="498"/>
      <c r="C630" s="499"/>
      <c r="D630" s="515"/>
      <c r="E630" s="515"/>
      <c r="F630" s="515"/>
      <c r="G630" s="515"/>
      <c r="H630" s="515"/>
      <c r="I630" s="515"/>
      <c r="J630" s="515"/>
      <c r="K630" s="515"/>
      <c r="L630" s="101"/>
      <c r="M630" s="97"/>
    </row>
    <row r="631" spans="2:13" s="78" customFormat="1" ht="12" customHeight="1" x14ac:dyDescent="0.2">
      <c r="B631" s="498"/>
      <c r="C631" s="499"/>
      <c r="D631" s="515"/>
      <c r="E631" s="515"/>
      <c r="F631" s="515"/>
      <c r="G631" s="515"/>
      <c r="H631" s="515"/>
      <c r="I631" s="515"/>
      <c r="J631" s="515"/>
      <c r="K631" s="515"/>
      <c r="L631" s="101"/>
      <c r="M631" s="97"/>
    </row>
    <row r="632" spans="2:13" s="78" customFormat="1" ht="12" customHeight="1" x14ac:dyDescent="0.2">
      <c r="B632" s="498"/>
      <c r="C632" s="499"/>
      <c r="D632" s="515"/>
      <c r="E632" s="515"/>
      <c r="F632" s="515"/>
      <c r="G632" s="515"/>
      <c r="H632" s="515"/>
      <c r="I632" s="515"/>
      <c r="J632" s="515"/>
      <c r="K632" s="515"/>
      <c r="L632" s="101"/>
      <c r="M632" s="97"/>
    </row>
    <row r="633" spans="2:13" s="78" customFormat="1" ht="12" customHeight="1" x14ac:dyDescent="0.2">
      <c r="B633" s="498"/>
      <c r="C633" s="499"/>
      <c r="D633" s="515"/>
      <c r="E633" s="515"/>
      <c r="F633" s="515"/>
      <c r="G633" s="515"/>
      <c r="H633" s="515"/>
      <c r="I633" s="515"/>
      <c r="J633" s="515"/>
      <c r="K633" s="515"/>
      <c r="L633" s="101"/>
      <c r="M633" s="97"/>
    </row>
    <row r="634" spans="2:13" s="78" customFormat="1" ht="12" customHeight="1" x14ac:dyDescent="0.2">
      <c r="B634" s="498"/>
      <c r="C634" s="499"/>
      <c r="D634" s="515"/>
      <c r="E634" s="515"/>
      <c r="F634" s="515"/>
      <c r="G634" s="515"/>
      <c r="H634" s="515"/>
      <c r="I634" s="515"/>
      <c r="J634" s="515"/>
      <c r="K634" s="515"/>
      <c r="L634" s="101"/>
      <c r="M634" s="97"/>
    </row>
    <row r="635" spans="2:13" s="78" customFormat="1" ht="12" customHeight="1" x14ac:dyDescent="0.2">
      <c r="B635" s="498"/>
      <c r="C635" s="499"/>
      <c r="D635" s="515"/>
      <c r="E635" s="515"/>
      <c r="F635" s="515"/>
      <c r="G635" s="515"/>
      <c r="H635" s="515"/>
      <c r="I635" s="515"/>
      <c r="J635" s="515"/>
      <c r="K635" s="515"/>
      <c r="L635" s="101"/>
      <c r="M635" s="97"/>
    </row>
    <row r="636" spans="2:13" s="78" customFormat="1" ht="12" customHeight="1" x14ac:dyDescent="0.2">
      <c r="B636" s="102"/>
      <c r="C636" s="97"/>
      <c r="D636" s="97"/>
      <c r="E636" s="97"/>
      <c r="F636" s="97"/>
      <c r="G636" s="97"/>
      <c r="H636" s="97"/>
      <c r="I636" s="97"/>
      <c r="J636" s="97"/>
      <c r="K636" s="97"/>
      <c r="L636" s="101"/>
      <c r="M636" s="97"/>
    </row>
    <row r="637" spans="2:13" s="78" customFormat="1" ht="12" customHeight="1" x14ac:dyDescent="0.2">
      <c r="B637" s="498" t="s">
        <v>1212</v>
      </c>
      <c r="C637" s="499"/>
      <c r="D637" s="515"/>
      <c r="E637" s="515"/>
      <c r="F637" s="515"/>
      <c r="G637" s="515"/>
      <c r="H637" s="515"/>
      <c r="I637" s="515"/>
      <c r="J637" s="515"/>
      <c r="K637" s="515"/>
      <c r="L637" s="101"/>
      <c r="M637" s="97"/>
    </row>
    <row r="638" spans="2:13" s="78" customFormat="1" ht="12" customHeight="1" x14ac:dyDescent="0.2">
      <c r="B638" s="498"/>
      <c r="C638" s="499"/>
      <c r="D638" s="515"/>
      <c r="E638" s="515"/>
      <c r="F638" s="515"/>
      <c r="G638" s="515"/>
      <c r="H638" s="515"/>
      <c r="I638" s="515"/>
      <c r="J638" s="515"/>
      <c r="K638" s="515"/>
      <c r="L638" s="101"/>
      <c r="M638" s="97"/>
    </row>
    <row r="639" spans="2:13" s="78" customFormat="1" ht="12" customHeight="1" x14ac:dyDescent="0.2">
      <c r="B639" s="498"/>
      <c r="C639" s="499"/>
      <c r="D639" s="515"/>
      <c r="E639" s="515"/>
      <c r="F639" s="515"/>
      <c r="G639" s="515"/>
      <c r="H639" s="515"/>
      <c r="I639" s="515"/>
      <c r="J639" s="515"/>
      <c r="K639" s="515"/>
      <c r="L639" s="101"/>
      <c r="M639" s="97"/>
    </row>
    <row r="640" spans="2:13" s="78" customFormat="1" ht="12" customHeight="1" x14ac:dyDescent="0.2">
      <c r="B640" s="498"/>
      <c r="C640" s="499"/>
      <c r="D640" s="515"/>
      <c r="E640" s="515"/>
      <c r="F640" s="515"/>
      <c r="G640" s="515"/>
      <c r="H640" s="515"/>
      <c r="I640" s="515"/>
      <c r="J640" s="515"/>
      <c r="K640" s="515"/>
      <c r="L640" s="101"/>
      <c r="M640" s="97"/>
    </row>
    <row r="641" spans="2:13" s="78" customFormat="1" ht="12" customHeight="1" x14ac:dyDescent="0.2">
      <c r="B641" s="498"/>
      <c r="C641" s="499"/>
      <c r="D641" s="515"/>
      <c r="E641" s="515"/>
      <c r="F641" s="515"/>
      <c r="G641" s="515"/>
      <c r="H641" s="515"/>
      <c r="I641" s="515"/>
      <c r="J641" s="515"/>
      <c r="K641" s="515"/>
      <c r="L641" s="101"/>
      <c r="M641" s="97"/>
    </row>
    <row r="642" spans="2:13" s="78" customFormat="1" ht="12" customHeight="1" x14ac:dyDescent="0.2">
      <c r="B642" s="498"/>
      <c r="C642" s="499"/>
      <c r="D642" s="515"/>
      <c r="E642" s="515"/>
      <c r="F642" s="515"/>
      <c r="G642" s="515"/>
      <c r="H642" s="515"/>
      <c r="I642" s="515"/>
      <c r="J642" s="515"/>
      <c r="K642" s="515"/>
      <c r="L642" s="101"/>
      <c r="M642" s="97"/>
    </row>
    <row r="643" spans="2:13" s="78" customFormat="1" ht="12" customHeight="1" x14ac:dyDescent="0.2">
      <c r="B643" s="498"/>
      <c r="C643" s="499"/>
      <c r="D643" s="515"/>
      <c r="E643" s="515"/>
      <c r="F643" s="515"/>
      <c r="G643" s="515"/>
      <c r="H643" s="515"/>
      <c r="I643" s="515"/>
      <c r="J643" s="515"/>
      <c r="K643" s="515"/>
      <c r="L643" s="101"/>
      <c r="M643" s="97"/>
    </row>
    <row r="644" spans="2:13" s="78" customFormat="1" ht="12" customHeight="1" x14ac:dyDescent="0.2">
      <c r="B644" s="498"/>
      <c r="C644" s="499"/>
      <c r="D644" s="515"/>
      <c r="E644" s="515"/>
      <c r="F644" s="515"/>
      <c r="G644" s="515"/>
      <c r="H644" s="515"/>
      <c r="I644" s="515"/>
      <c r="J644" s="515"/>
      <c r="K644" s="515"/>
      <c r="L644" s="101"/>
      <c r="M644" s="97"/>
    </row>
    <row r="645" spans="2:13" s="78" customFormat="1" ht="12" customHeight="1" x14ac:dyDescent="0.2">
      <c r="B645" s="498"/>
      <c r="C645" s="499"/>
      <c r="D645" s="515"/>
      <c r="E645" s="515"/>
      <c r="F645" s="515"/>
      <c r="G645" s="515"/>
      <c r="H645" s="515"/>
      <c r="I645" s="515"/>
      <c r="J645" s="515"/>
      <c r="K645" s="515"/>
      <c r="L645" s="101"/>
      <c r="M645" s="97"/>
    </row>
    <row r="646" spans="2:13" s="78" customFormat="1" ht="12" customHeight="1" x14ac:dyDescent="0.2">
      <c r="B646" s="498"/>
      <c r="C646" s="499"/>
      <c r="D646" s="515"/>
      <c r="E646" s="515"/>
      <c r="F646" s="515"/>
      <c r="G646" s="515"/>
      <c r="H646" s="515"/>
      <c r="I646" s="515"/>
      <c r="J646" s="515"/>
      <c r="K646" s="515"/>
      <c r="L646" s="101"/>
      <c r="M646" s="97"/>
    </row>
    <row r="647" spans="2:13" s="78" customFormat="1" ht="12" customHeight="1" x14ac:dyDescent="0.2">
      <c r="B647" s="498"/>
      <c r="C647" s="499"/>
      <c r="D647" s="515"/>
      <c r="E647" s="515"/>
      <c r="F647" s="515"/>
      <c r="G647" s="515"/>
      <c r="H647" s="515"/>
      <c r="I647" s="515"/>
      <c r="J647" s="515"/>
      <c r="K647" s="515"/>
      <c r="L647" s="101"/>
      <c r="M647" s="97"/>
    </row>
    <row r="648" spans="2:13" s="78" customFormat="1" ht="12" customHeight="1" x14ac:dyDescent="0.2">
      <c r="B648" s="498"/>
      <c r="C648" s="499"/>
      <c r="D648" s="515"/>
      <c r="E648" s="515"/>
      <c r="F648" s="515"/>
      <c r="G648" s="515"/>
      <c r="H648" s="515"/>
      <c r="I648" s="515"/>
      <c r="J648" s="515"/>
      <c r="K648" s="515"/>
      <c r="L648" s="101"/>
      <c r="M648" s="97"/>
    </row>
    <row r="649" spans="2:13" s="78" customFormat="1" ht="4.5" customHeight="1" x14ac:dyDescent="0.2">
      <c r="B649" s="103"/>
      <c r="C649" s="104"/>
      <c r="D649" s="104"/>
      <c r="E649" s="104"/>
      <c r="F649" s="104"/>
      <c r="G649" s="104"/>
      <c r="H649" s="104"/>
      <c r="I649" s="104"/>
      <c r="J649" s="104"/>
      <c r="K649" s="104"/>
      <c r="L649" s="105"/>
      <c r="M649" s="97"/>
    </row>
    <row r="650" spans="2:13" s="78" customFormat="1" ht="7.5" customHeight="1" x14ac:dyDescent="0.2"/>
    <row r="651" spans="2:13" s="78" customFormat="1" ht="7.5" customHeight="1" x14ac:dyDescent="0.2"/>
    <row r="652" spans="2:13" ht="18" customHeight="1" x14ac:dyDescent="0.2">
      <c r="B652" s="100" t="s">
        <v>1213</v>
      </c>
      <c r="C652" s="387"/>
      <c r="D652" s="387"/>
      <c r="E652" s="387"/>
      <c r="F652" s="387"/>
      <c r="G652" s="387"/>
      <c r="H652" s="387"/>
      <c r="I652" s="387"/>
      <c r="J652" s="387"/>
      <c r="K652" s="387"/>
      <c r="L652" s="388"/>
    </row>
    <row r="653" spans="2:13" s="97" customFormat="1" ht="12" customHeight="1" x14ac:dyDescent="0.2">
      <c r="B653" s="242" t="s">
        <v>1214</v>
      </c>
      <c r="L653" s="395"/>
    </row>
    <row r="654" spans="2:13" s="97" customFormat="1" ht="12" customHeight="1" x14ac:dyDescent="0.2">
      <c r="B654" s="102"/>
      <c r="L654" s="395"/>
    </row>
    <row r="655" spans="2:13" ht="18" customHeight="1" x14ac:dyDescent="0.2">
      <c r="B655" s="185" t="s">
        <v>1215</v>
      </c>
      <c r="C655" s="82"/>
      <c r="D655" s="83"/>
      <c r="E655" s="83"/>
      <c r="F655" s="83"/>
      <c r="G655" s="83"/>
      <c r="H655" s="83"/>
      <c r="I655" s="83"/>
      <c r="J655" s="83"/>
      <c r="K655" s="83"/>
      <c r="L655" s="6"/>
    </row>
    <row r="656" spans="2:13" ht="18" customHeight="1" x14ac:dyDescent="0.2">
      <c r="B656" s="257" t="s">
        <v>1216</v>
      </c>
      <c r="C656" s="82"/>
      <c r="D656" s="83"/>
      <c r="E656" s="83"/>
      <c r="F656" s="83"/>
      <c r="G656" s="83"/>
      <c r="H656" s="83"/>
      <c r="I656" s="83"/>
      <c r="J656" s="83"/>
      <c r="K656" s="83"/>
      <c r="L656" s="385"/>
    </row>
    <row r="657" spans="2:13" ht="4.5" customHeight="1" x14ac:dyDescent="0.2">
      <c r="B657" s="257"/>
      <c r="C657" s="82"/>
      <c r="D657" s="83"/>
      <c r="E657" s="83"/>
      <c r="F657" s="83"/>
      <c r="G657" s="83"/>
      <c r="H657" s="83"/>
      <c r="I657" s="83"/>
      <c r="J657" s="83"/>
      <c r="K657" s="83"/>
      <c r="L657" s="385"/>
    </row>
    <row r="658" spans="2:13" ht="36" customHeight="1" x14ac:dyDescent="0.2">
      <c r="B658" s="1"/>
      <c r="C658" s="82"/>
      <c r="D658" s="476" t="s">
        <v>1218</v>
      </c>
      <c r="E658" s="477"/>
      <c r="F658" s="477"/>
      <c r="G658" s="477"/>
      <c r="H658" s="478"/>
      <c r="I658" s="264"/>
      <c r="J658" s="83"/>
      <c r="K658" s="83"/>
      <c r="L658" s="6"/>
    </row>
    <row r="659" spans="2:13" ht="36" customHeight="1" x14ac:dyDescent="0.2">
      <c r="B659" s="1"/>
      <c r="C659" s="82"/>
      <c r="D659" s="476" t="s">
        <v>1219</v>
      </c>
      <c r="E659" s="477"/>
      <c r="F659" s="477"/>
      <c r="G659" s="477"/>
      <c r="H659" s="478"/>
      <c r="I659" s="264"/>
      <c r="J659" s="83"/>
      <c r="K659" s="83"/>
      <c r="L659" s="6"/>
    </row>
    <row r="660" spans="2:13" ht="36" customHeight="1" x14ac:dyDescent="0.2">
      <c r="B660" s="1"/>
      <c r="C660" s="82"/>
      <c r="D660" s="476" t="s">
        <v>1217</v>
      </c>
      <c r="E660" s="477"/>
      <c r="F660" s="477"/>
      <c r="G660" s="477"/>
      <c r="H660" s="478"/>
      <c r="I660" s="264"/>
      <c r="J660" s="83"/>
      <c r="K660" s="83"/>
      <c r="L660" s="6"/>
    </row>
    <row r="661" spans="2:13" ht="36" customHeight="1" x14ac:dyDescent="0.2">
      <c r="B661" s="1"/>
      <c r="C661" s="82"/>
      <c r="D661" s="476" t="s">
        <v>1222</v>
      </c>
      <c r="E661" s="477"/>
      <c r="F661" s="477"/>
      <c r="G661" s="477"/>
      <c r="H661" s="478"/>
      <c r="I661" s="264"/>
      <c r="J661" s="83"/>
      <c r="K661" s="83"/>
      <c r="L661" s="6"/>
    </row>
    <row r="662" spans="2:13" ht="36" customHeight="1" x14ac:dyDescent="0.2">
      <c r="B662" s="1"/>
      <c r="C662" s="82"/>
      <c r="D662" s="394" t="s">
        <v>1221</v>
      </c>
      <c r="E662" s="465"/>
      <c r="F662" s="466"/>
      <c r="G662" s="466"/>
      <c r="H662" s="466"/>
      <c r="I662" s="467"/>
      <c r="J662" s="83"/>
      <c r="K662" s="83"/>
      <c r="L662" s="6"/>
    </row>
    <row r="663" spans="2:13" s="97" customFormat="1" ht="12" customHeight="1" x14ac:dyDescent="0.2">
      <c r="B663" s="102"/>
      <c r="M663" s="102"/>
    </row>
    <row r="664" spans="2:13" ht="18" customHeight="1" x14ac:dyDescent="0.2">
      <c r="B664" s="185" t="s">
        <v>1223</v>
      </c>
      <c r="C664" s="82"/>
      <c r="D664" s="83"/>
      <c r="E664" s="83"/>
      <c r="F664" s="83"/>
      <c r="G664" s="83"/>
      <c r="H664" s="83"/>
      <c r="I664" s="83"/>
      <c r="J664" s="83"/>
      <c r="K664" s="83"/>
      <c r="L664" s="6"/>
    </row>
    <row r="665" spans="2:13" ht="18" customHeight="1" x14ac:dyDescent="0.2">
      <c r="B665" s="257" t="s">
        <v>1216</v>
      </c>
      <c r="C665" s="82"/>
      <c r="D665" s="83"/>
      <c r="E665" s="83"/>
      <c r="F665" s="83"/>
      <c r="G665" s="83"/>
      <c r="H665" s="83"/>
      <c r="I665" s="83"/>
      <c r="J665" s="83"/>
      <c r="K665" s="83"/>
      <c r="L665" s="385"/>
    </row>
    <row r="666" spans="2:13" ht="4.5" customHeight="1" x14ac:dyDescent="0.2">
      <c r="B666" s="257"/>
      <c r="C666" s="82"/>
      <c r="D666" s="83"/>
      <c r="E666" s="83"/>
      <c r="F666" s="83"/>
      <c r="G666" s="83"/>
      <c r="H666" s="83"/>
      <c r="I666" s="83"/>
      <c r="J666" s="83"/>
      <c r="K666" s="83"/>
      <c r="L666" s="385"/>
    </row>
    <row r="667" spans="2:13" ht="36" customHeight="1" x14ac:dyDescent="0.2">
      <c r="B667" s="1"/>
      <c r="C667" s="82"/>
      <c r="D667" s="462" t="s">
        <v>1224</v>
      </c>
      <c r="E667" s="463"/>
      <c r="F667" s="463"/>
      <c r="G667" s="463"/>
      <c r="H667" s="464"/>
      <c r="I667" s="264"/>
      <c r="J667" s="83"/>
      <c r="K667" s="83"/>
      <c r="L667" s="6"/>
    </row>
    <row r="668" spans="2:13" ht="36" customHeight="1" x14ac:dyDescent="0.2">
      <c r="B668" s="1"/>
      <c r="C668" s="82"/>
      <c r="D668" s="462" t="s">
        <v>1225</v>
      </c>
      <c r="E668" s="463"/>
      <c r="F668" s="463"/>
      <c r="G668" s="463"/>
      <c r="H668" s="464"/>
      <c r="I668" s="264"/>
      <c r="J668" s="83"/>
      <c r="K668" s="83"/>
      <c r="L668" s="6"/>
    </row>
    <row r="669" spans="2:13" ht="36" customHeight="1" x14ac:dyDescent="0.2">
      <c r="B669" s="1"/>
      <c r="C669" s="82"/>
      <c r="D669" s="462" t="s">
        <v>1226</v>
      </c>
      <c r="E669" s="463"/>
      <c r="F669" s="463"/>
      <c r="G669" s="463"/>
      <c r="H669" s="464"/>
      <c r="I669" s="264"/>
      <c r="J669" s="83"/>
      <c r="K669" s="83"/>
      <c r="L669" s="6"/>
    </row>
    <row r="670" spans="2:13" ht="36" customHeight="1" x14ac:dyDescent="0.2">
      <c r="B670" s="1"/>
      <c r="C670" s="82"/>
      <c r="D670" s="462" t="s">
        <v>1227</v>
      </c>
      <c r="E670" s="463"/>
      <c r="F670" s="463"/>
      <c r="G670" s="463"/>
      <c r="H670" s="464"/>
      <c r="I670" s="264"/>
      <c r="J670" s="83"/>
      <c r="K670" s="83"/>
      <c r="L670" s="6"/>
    </row>
    <row r="671" spans="2:13" ht="36" customHeight="1" x14ac:dyDescent="0.2">
      <c r="B671" s="1"/>
      <c r="C671" s="82"/>
      <c r="D671" s="462" t="s">
        <v>1228</v>
      </c>
      <c r="E671" s="463"/>
      <c r="F671" s="463"/>
      <c r="G671" s="463"/>
      <c r="H671" s="464"/>
      <c r="I671" s="264"/>
      <c r="J671" s="83"/>
      <c r="K671" s="83"/>
      <c r="L671" s="6"/>
    </row>
    <row r="672" spans="2:13" ht="36" customHeight="1" x14ac:dyDescent="0.2">
      <c r="B672" s="1"/>
      <c r="C672" s="82"/>
      <c r="D672" s="462" t="s">
        <v>1229</v>
      </c>
      <c r="E672" s="463"/>
      <c r="F672" s="463"/>
      <c r="G672" s="463"/>
      <c r="H672" s="464"/>
      <c r="I672" s="264"/>
      <c r="J672" s="83"/>
      <c r="K672" s="83"/>
      <c r="L672" s="385"/>
    </row>
    <row r="673" spans="2:16" ht="36" customHeight="1" x14ac:dyDescent="0.2">
      <c r="B673" s="1"/>
      <c r="C673" s="82"/>
      <c r="D673" s="462" t="s">
        <v>1230</v>
      </c>
      <c r="E673" s="463"/>
      <c r="F673" s="463"/>
      <c r="G673" s="463"/>
      <c r="H673" s="464"/>
      <c r="I673" s="264"/>
      <c r="J673" s="83"/>
      <c r="K673" s="83"/>
      <c r="L673" s="385"/>
    </row>
    <row r="674" spans="2:16" ht="36" customHeight="1" x14ac:dyDescent="0.2">
      <c r="B674" s="1"/>
      <c r="C674" s="82"/>
      <c r="D674" s="394" t="s">
        <v>1221</v>
      </c>
      <c r="E674" s="465"/>
      <c r="F674" s="466"/>
      <c r="G674" s="466"/>
      <c r="H674" s="466"/>
      <c r="I674" s="467"/>
      <c r="J674" s="83"/>
      <c r="K674" s="83"/>
      <c r="L674" s="6"/>
    </row>
    <row r="675" spans="2:16" s="97" customFormat="1" ht="12" customHeight="1" x14ac:dyDescent="0.2">
      <c r="B675" s="397"/>
      <c r="C675" s="396"/>
      <c r="D675" s="396"/>
      <c r="E675" s="396"/>
      <c r="F675" s="396"/>
      <c r="G675" s="396"/>
      <c r="H675" s="396"/>
      <c r="I675" s="396"/>
      <c r="J675" s="396"/>
      <c r="K675" s="396"/>
      <c r="L675" s="398"/>
    </row>
    <row r="676" spans="2:16" s="97" customFormat="1" ht="12" customHeight="1" x14ac:dyDescent="0.2"/>
    <row r="677" spans="2:16" s="4" customFormat="1" ht="18" customHeight="1" x14ac:dyDescent="0.2">
      <c r="B677" s="107" t="s">
        <v>1231</v>
      </c>
      <c r="C677" s="107"/>
      <c r="D677" s="107"/>
      <c r="E677" s="107"/>
      <c r="F677" s="107"/>
      <c r="G677" s="107"/>
      <c r="H677" s="107"/>
      <c r="I677" s="107"/>
      <c r="J677" s="107"/>
      <c r="K677" s="107"/>
      <c r="L677" s="61"/>
    </row>
    <row r="678" spans="2:16" ht="18" customHeight="1" x14ac:dyDescent="0.2">
      <c r="B678" s="108" t="s">
        <v>1232</v>
      </c>
      <c r="C678" s="109"/>
      <c r="D678" s="109"/>
      <c r="E678" s="109"/>
      <c r="F678" s="109"/>
      <c r="G678" s="109"/>
      <c r="H678" s="109"/>
      <c r="I678" s="109"/>
      <c r="J678" s="109"/>
      <c r="K678" s="109"/>
      <c r="L678" s="110"/>
    </row>
    <row r="679" spans="2:16" ht="3.95" customHeight="1" x14ac:dyDescent="0.2">
      <c r="B679" s="111"/>
      <c r="C679" s="111"/>
      <c r="D679" s="111"/>
      <c r="E679" s="111"/>
      <c r="F679" s="111"/>
      <c r="G679" s="111"/>
      <c r="H679" s="111"/>
      <c r="I679" s="111"/>
      <c r="J679" s="111"/>
      <c r="K679" s="111"/>
      <c r="L679" s="111"/>
    </row>
    <row r="680" spans="2:16" ht="3.95" customHeight="1" x14ac:dyDescent="0.2">
      <c r="B680" s="4"/>
      <c r="C680" s="4"/>
      <c r="D680" s="4"/>
      <c r="E680" s="4"/>
      <c r="F680" s="4"/>
      <c r="G680" s="4"/>
      <c r="H680" s="4"/>
      <c r="I680" s="4"/>
      <c r="J680" s="4"/>
      <c r="K680" s="4"/>
      <c r="L680" s="4"/>
    </row>
    <row r="681" spans="2:16" s="78" customFormat="1" ht="24" customHeight="1" x14ac:dyDescent="0.2">
      <c r="B681" s="101"/>
      <c r="C681" s="468" t="s">
        <v>1233</v>
      </c>
      <c r="D681" s="469"/>
      <c r="E681" s="470"/>
      <c r="F681" s="452" t="s">
        <v>692</v>
      </c>
      <c r="G681" s="112" t="s">
        <v>32</v>
      </c>
      <c r="H681" s="112" t="s">
        <v>33</v>
      </c>
      <c r="I681" s="112" t="s">
        <v>34</v>
      </c>
      <c r="J681" s="112" t="s">
        <v>35</v>
      </c>
      <c r="K681" s="452" t="s">
        <v>1302</v>
      </c>
      <c r="L681" s="102"/>
      <c r="N681" s="438" t="str">
        <f>IF(COUNTIF(errors_results,TRUE)&gt;0,"List of Errors/Zoznam chýb","")</f>
        <v>List of Errors/Zoznam chýb</v>
      </c>
    </row>
    <row r="682" spans="2:16" s="78" customFormat="1" ht="24" customHeight="1" x14ac:dyDescent="0.2">
      <c r="B682" s="113" t="s">
        <v>27</v>
      </c>
      <c r="C682" s="471" t="s">
        <v>1235</v>
      </c>
      <c r="D682" s="472"/>
      <c r="E682" s="473"/>
      <c r="F682" s="228">
        <f>SUMIF(Implemented_By_Column,F681,Amount_Column)</f>
        <v>0</v>
      </c>
      <c r="G682" s="228">
        <f>SUMIF(Implemented_By_Column,G681,Amount_Column)</f>
        <v>0</v>
      </c>
      <c r="H682" s="228">
        <f>SUMIF(Implemented_By_Column,H681,Amount_Column)</f>
        <v>0</v>
      </c>
      <c r="I682" s="228">
        <f>SUMIF(Implemented_By_Column,I681,Amount_Column)</f>
        <v>0</v>
      </c>
      <c r="J682" s="228">
        <f>SUMIF(Implemented_By_Column,J681,Amount_Column)</f>
        <v>0</v>
      </c>
      <c r="K682" s="228">
        <f>SUM(F682:J682)</f>
        <v>0</v>
      </c>
      <c r="L682" s="102"/>
      <c r="N682" s="439" t="str">
        <f t="array" ref="N682">IFERROR(INDEX(errors_english_desc&amp;". / " &amp; errors_slovak_desc,SMALL(IF(errors_results=TRUE,ROW(errors_english_desc)-ROW($A$1)),ROWS($A$1:A1))),"")</f>
        <v/>
      </c>
    </row>
    <row r="683" spans="2:16" s="78" customFormat="1" ht="24" customHeight="1" x14ac:dyDescent="0.2">
      <c r="B683" s="113" t="s">
        <v>28</v>
      </c>
      <c r="C683" s="471" t="s">
        <v>1234</v>
      </c>
      <c r="D683" s="472"/>
      <c r="E683" s="473"/>
      <c r="F683" s="338"/>
      <c r="G683" s="338"/>
      <c r="H683" s="338"/>
      <c r="I683" s="338"/>
      <c r="J683" s="338"/>
      <c r="K683" s="228">
        <f t="shared" ref="K683:K691" si="1">SUM(F683:J683)</f>
        <v>0</v>
      </c>
      <c r="L683" s="102"/>
      <c r="N683" s="439" t="str">
        <f t="array" ref="N683">IFERROR(INDEX(errors_english_desc&amp;". / " &amp; errors_slovak_desc,SMALL(IF(errors_results=TRUE,ROW(errors_english_desc)-ROW($A$1)),ROWS($A$1:A2))),"")</f>
        <v/>
      </c>
    </row>
    <row r="684" spans="2:16" s="78" customFormat="1" ht="24" customHeight="1" x14ac:dyDescent="0.2">
      <c r="B684" s="113"/>
      <c r="C684" s="471" t="s">
        <v>1236</v>
      </c>
      <c r="D684" s="472"/>
      <c r="E684" s="473"/>
      <c r="F684" s="337"/>
      <c r="G684" s="337"/>
      <c r="H684" s="337"/>
      <c r="I684" s="337"/>
      <c r="J684" s="337"/>
      <c r="K684" s="228"/>
      <c r="L684" s="102"/>
      <c r="N684" s="439" t="str">
        <f t="array" ref="N684">IFERROR(INDEX(errors_english_desc&amp;". / " &amp; errors_slovak_desc,SMALL(IF(errors_results=TRUE,ROW(errors_english_desc)-ROW($A$1)),ROWS($A$1:A3))),"")</f>
        <v/>
      </c>
    </row>
    <row r="685" spans="2:16" s="78" customFormat="1" ht="24" customHeight="1" x14ac:dyDescent="0.2">
      <c r="B685" s="113" t="s">
        <v>29</v>
      </c>
      <c r="C685" s="471" t="s">
        <v>1237</v>
      </c>
      <c r="D685" s="472"/>
      <c r="E685" s="473"/>
      <c r="F685" s="338"/>
      <c r="G685" s="338"/>
      <c r="H685" s="338"/>
      <c r="I685" s="338"/>
      <c r="J685" s="338"/>
      <c r="K685" s="228">
        <f t="shared" si="1"/>
        <v>0</v>
      </c>
      <c r="L685" s="102"/>
      <c r="N685" s="439" t="str">
        <f t="array" ref="N685">IFERROR(INDEX(errors_english_desc&amp;". / " &amp; errors_slovak_desc,SMALL(IF(errors_results=TRUE,ROW(errors_english_desc)-ROW($A$1)),ROWS($A$1:A4))),"")</f>
        <v/>
      </c>
    </row>
    <row r="686" spans="2:16" s="78" customFormat="1" ht="24" customHeight="1" x14ac:dyDescent="0.2">
      <c r="B686" s="113" t="s">
        <v>30</v>
      </c>
      <c r="C686" s="471" t="s">
        <v>1238</v>
      </c>
      <c r="D686" s="472"/>
      <c r="E686" s="473"/>
      <c r="F686" s="447"/>
      <c r="G686" s="447"/>
      <c r="H686" s="447"/>
      <c r="I686" s="447"/>
      <c r="J686" s="447"/>
      <c r="K686" s="228">
        <f t="shared" si="1"/>
        <v>0</v>
      </c>
      <c r="L686" s="102"/>
      <c r="N686" s="439" t="str">
        <f t="array" ref="N686">IFERROR(INDEX(errors_english_desc&amp;". / " &amp; errors_slovak_desc,SMALL(IF(errors_results=TRUE,ROW(errors_english_desc)-ROW($A$1)),ROWS($A$1:A5))),"")</f>
        <v/>
      </c>
    </row>
    <row r="687" spans="2:16" s="78" customFormat="1" ht="24" customHeight="1" x14ac:dyDescent="0.2">
      <c r="B687" s="113" t="s">
        <v>31</v>
      </c>
      <c r="C687" s="471" t="s">
        <v>1240</v>
      </c>
      <c r="D687" s="472"/>
      <c r="E687" s="473"/>
      <c r="F687" s="338"/>
      <c r="G687" s="338"/>
      <c r="H687" s="338"/>
      <c r="I687" s="338"/>
      <c r="J687" s="338"/>
      <c r="K687" s="228">
        <f t="shared" si="1"/>
        <v>0</v>
      </c>
      <c r="L687" s="102"/>
      <c r="N687" s="439" t="str">
        <f t="array" ref="N687">IFERROR(INDEX(errors_english_desc&amp;". / " &amp; errors_slovak_desc,SMALL(IF(errors_results=TRUE,ROW(errors_english_desc)-ROW($A$1)),ROWS($A$1:A6))),"")</f>
        <v/>
      </c>
    </row>
    <row r="688" spans="2:16" s="78" customFormat="1" ht="24" customHeight="1" x14ac:dyDescent="0.2">
      <c r="B688" s="113" t="s">
        <v>0</v>
      </c>
      <c r="C688" s="471" t="s">
        <v>1239</v>
      </c>
      <c r="D688" s="472"/>
      <c r="E688" s="473"/>
      <c r="F688" s="338"/>
      <c r="G688" s="338"/>
      <c r="H688" s="338"/>
      <c r="I688" s="338"/>
      <c r="J688" s="338"/>
      <c r="K688" s="228">
        <f>SUM(F688:J688)</f>
        <v>0</v>
      </c>
      <c r="L688" s="102"/>
      <c r="N688" s="439" t="str">
        <f t="array" ref="N688">IFERROR(INDEX(errors_english_desc&amp;". / " &amp; errors_slovak_desc,SMALL(IF(errors_results=TRUE,ROW(errors_english_desc)-ROW($A$1)),ROWS($A$1:A7))),"")</f>
        <v/>
      </c>
      <c r="O688" s="409"/>
      <c r="P688" s="408"/>
    </row>
    <row r="689" spans="2:17" s="78" customFormat="1" ht="24" customHeight="1" x14ac:dyDescent="0.2">
      <c r="B689" s="113" t="s">
        <v>1</v>
      </c>
      <c r="C689" s="471" t="s">
        <v>1241</v>
      </c>
      <c r="D689" s="472"/>
      <c r="E689" s="473"/>
      <c r="F689" s="228">
        <f>F691-F687-F686</f>
        <v>0</v>
      </c>
      <c r="G689" s="228">
        <f>G691-G687-G686</f>
        <v>0</v>
      </c>
      <c r="H689" s="228">
        <f>H691-H687-H686</f>
        <v>0</v>
      </c>
      <c r="I689" s="228">
        <f>I691-I687-I686</f>
        <v>0</v>
      </c>
      <c r="J689" s="228">
        <f>J691-J687-J686</f>
        <v>0</v>
      </c>
      <c r="K689" s="228">
        <f t="shared" si="1"/>
        <v>0</v>
      </c>
      <c r="L689" s="102"/>
      <c r="N689" s="439" t="str">
        <f t="array" ref="N689">IFERROR(INDEX(errors_english_desc&amp;". / " &amp; errors_slovak_desc,SMALL(IF(errors_results=TRUE,ROW(errors_english_desc)-ROW($A$1)),ROWS($A$1:A8))),"")</f>
        <v/>
      </c>
      <c r="Q689" s="409"/>
    </row>
    <row r="690" spans="2:17" s="78" customFormat="1" ht="24" customHeight="1" x14ac:dyDescent="0.2">
      <c r="B690" s="113" t="s">
        <v>2</v>
      </c>
      <c r="C690" s="471" t="s">
        <v>1242</v>
      </c>
      <c r="D690" s="472"/>
      <c r="E690" s="473"/>
      <c r="F690" s="228">
        <f>SUM(F682:F685)</f>
        <v>0</v>
      </c>
      <c r="G690" s="228">
        <f>SUM(G682:G685)</f>
        <v>0</v>
      </c>
      <c r="H690" s="228">
        <f>SUM(H682:H685)</f>
        <v>0</v>
      </c>
      <c r="I690" s="228">
        <f>SUM(I682:I685)</f>
        <v>0</v>
      </c>
      <c r="J690" s="228">
        <f>SUM(J682:J685)</f>
        <v>0</v>
      </c>
      <c r="K690" s="228">
        <f>SUM(F690:J690)</f>
        <v>0</v>
      </c>
      <c r="L690" s="102"/>
      <c r="N690" s="439" t="str">
        <f t="array" ref="N690">IFERROR(INDEX(errors_english_desc&amp;". / " &amp; errors_slovak_desc,SMALL(IF(errors_results=TRUE,ROW(errors_english_desc)-ROW($A$1)),ROWS($A$1:A9))),"")</f>
        <v/>
      </c>
    </row>
    <row r="691" spans="2:17" s="78" customFormat="1" ht="24" customHeight="1" x14ac:dyDescent="0.2">
      <c r="B691" s="113" t="s">
        <v>242</v>
      </c>
      <c r="C691" s="471" t="s">
        <v>1243</v>
      </c>
      <c r="D691" s="472"/>
      <c r="E691" s="473"/>
      <c r="F691" s="228">
        <f>F690+F686</f>
        <v>0</v>
      </c>
      <c r="G691" s="228">
        <f>G690+G686</f>
        <v>0</v>
      </c>
      <c r="H691" s="228">
        <f>H690+H686</f>
        <v>0</v>
      </c>
      <c r="I691" s="228">
        <f>I690+I686</f>
        <v>0</v>
      </c>
      <c r="J691" s="228">
        <f>J690+J686</f>
        <v>0</v>
      </c>
      <c r="K691" s="228">
        <f t="shared" si="1"/>
        <v>0</v>
      </c>
      <c r="L691" s="102"/>
      <c r="N691" s="439" t="str">
        <f t="array" ref="N691">IFERROR(INDEX(errors_english_desc&amp;". / " &amp; errors_slovak_desc,SMALL(IF(errors_results=TRUE,ROW(errors_english_desc)-ROW($A$1)),ROWS($A$1:A10))),"")</f>
        <v/>
      </c>
    </row>
    <row r="692" spans="2:17" s="78" customFormat="1" ht="24" customHeight="1" x14ac:dyDescent="0.2">
      <c r="B692" s="199" t="s">
        <v>243</v>
      </c>
      <c r="C692" s="244"/>
      <c r="D692" s="239"/>
      <c r="E692" s="239"/>
      <c r="F692" s="239"/>
      <c r="G692" s="199"/>
      <c r="H692" s="239"/>
      <c r="I692" s="239"/>
      <c r="J692" s="245" t="s">
        <v>1244</v>
      </c>
      <c r="K692" s="229" t="e">
        <f>indirect_costs_total/SUMIF(Type_Of_Expenditures_Column,Lists!R2,Amount_Column)</f>
        <v>#DIV/0!</v>
      </c>
      <c r="L692" s="102"/>
      <c r="N692" s="114"/>
    </row>
    <row r="693" spans="2:17" s="78" customFormat="1" ht="24" customHeight="1" x14ac:dyDescent="0.2">
      <c r="B693" s="199" t="s">
        <v>244</v>
      </c>
      <c r="C693" s="244"/>
      <c r="D693" s="239"/>
      <c r="E693" s="239"/>
      <c r="F693" s="239"/>
      <c r="G693" s="199"/>
      <c r="H693" s="239"/>
      <c r="I693" s="239"/>
      <c r="J693" s="245" t="s">
        <v>1245</v>
      </c>
      <c r="K693" s="229" t="e">
        <f>ROUND(K689/K691,4)</f>
        <v>#DIV/0!</v>
      </c>
      <c r="L693" s="102"/>
      <c r="N693" s="114"/>
    </row>
    <row r="694" spans="2:17" s="78" customFormat="1" ht="24" customHeight="1" x14ac:dyDescent="0.2">
      <c r="B694" s="199" t="s">
        <v>245</v>
      </c>
      <c r="C694" s="244"/>
      <c r="D694" s="239"/>
      <c r="E694" s="239"/>
      <c r="F694" s="239"/>
      <c r="G694" s="199"/>
      <c r="H694" s="239"/>
      <c r="I694" s="239"/>
      <c r="J694" s="245" t="s">
        <v>1246</v>
      </c>
      <c r="K694" s="246">
        <f>IF(ISERROR(VLOOKUP(sector_specified,grant_rates_table,2,FALSE)),0.8,(VLOOKUP(sector_specified,grant_rates_table,2,FALSE)))</f>
        <v>0.8</v>
      </c>
      <c r="L694" s="102"/>
      <c r="N694" s="408"/>
      <c r="O694" s="247"/>
    </row>
    <row r="695" spans="2:17" s="78" customFormat="1" ht="24" customHeight="1" x14ac:dyDescent="0.2">
      <c r="B695" s="199" t="s">
        <v>246</v>
      </c>
      <c r="C695" s="244"/>
      <c r="D695" s="239"/>
      <c r="E695" s="239"/>
      <c r="F695" s="239"/>
      <c r="G695" s="199"/>
      <c r="H695" s="239"/>
      <c r="I695" s="339"/>
      <c r="J695" s="245" t="s">
        <v>1247</v>
      </c>
      <c r="K695" s="228" t="e">
        <f>VLOOKUP(call_code,grants_requested_table,2,FALSE)</f>
        <v>#N/A</v>
      </c>
      <c r="L695" s="102"/>
      <c r="N695" s="439"/>
      <c r="O695" s="247"/>
    </row>
    <row r="696" spans="2:17" s="78" customFormat="1" ht="24" customHeight="1" x14ac:dyDescent="0.2">
      <c r="B696" s="199" t="s">
        <v>248</v>
      </c>
      <c r="C696" s="244"/>
      <c r="D696" s="239"/>
      <c r="E696" s="239"/>
      <c r="F696" s="239"/>
      <c r="G696" s="199"/>
      <c r="H696" s="239"/>
      <c r="I696" s="239"/>
      <c r="J696" s="245" t="s">
        <v>1248</v>
      </c>
      <c r="K696" s="228" t="e">
        <f>VLOOKUP(call_code,grants_requested_table,3,FALSE)</f>
        <v>#N/A</v>
      </c>
      <c r="L696" s="102"/>
      <c r="N696" s="243"/>
      <c r="O696" s="247"/>
    </row>
    <row r="697" spans="2:17" s="78" customFormat="1" ht="24" customHeight="1" x14ac:dyDescent="0.2">
      <c r="B697" s="199" t="s">
        <v>319</v>
      </c>
      <c r="C697" s="244"/>
      <c r="D697" s="239"/>
      <c r="E697" s="239"/>
      <c r="F697" s="239"/>
      <c r="G697" s="199"/>
      <c r="H697" s="239"/>
      <c r="I697" s="239"/>
      <c r="J697" s="245" t="s">
        <v>1249</v>
      </c>
      <c r="K697" s="228">
        <f>ROUND(total_eligible_expenditure_total*0.05,0)</f>
        <v>0</v>
      </c>
      <c r="L697" s="102"/>
      <c r="N697" s="243"/>
      <c r="O697" s="247"/>
    </row>
    <row r="698" spans="2:17" s="78" customFormat="1" ht="24" customHeight="1" x14ac:dyDescent="0.2">
      <c r="B698" s="199" t="s">
        <v>320</v>
      </c>
      <c r="C698" s="244"/>
      <c r="D698" s="239"/>
      <c r="E698" s="239"/>
      <c r="F698" s="239"/>
      <c r="G698" s="199"/>
      <c r="H698" s="239"/>
      <c r="I698" s="239"/>
      <c r="J698" s="410" t="s">
        <v>1250</v>
      </c>
      <c r="K698" s="440">
        <f>IF(AND(sector=nonprofit_sector_verification_title,sector_specified&lt;&gt;churches_verification_title),in_kind_call_limit,0)</f>
        <v>0</v>
      </c>
      <c r="L698" s="102"/>
      <c r="N698" s="243"/>
      <c r="O698" s="247"/>
    </row>
    <row r="699" spans="2:17" s="78" customFormat="1" ht="24" customHeight="1" x14ac:dyDescent="0.2">
      <c r="B699" s="199" t="s">
        <v>321</v>
      </c>
      <c r="C699" s="244"/>
      <c r="D699" s="239"/>
      <c r="E699" s="239"/>
      <c r="F699" s="239"/>
      <c r="G699" s="199"/>
      <c r="H699" s="239"/>
      <c r="I699" s="239"/>
      <c r="J699" s="410" t="s">
        <v>1251</v>
      </c>
      <c r="K699" s="441">
        <f>ROUND((2*total_eligible_cash_expenditure_total*(1-maximum_grant_rate))/(1+maximum_grant_rate)*maximum_in_kind_percentage,0)</f>
        <v>0</v>
      </c>
      <c r="L699" s="102"/>
      <c r="N699" s="243"/>
      <c r="O699" s="247"/>
    </row>
    <row r="700" spans="2:17" s="78" customFormat="1" ht="24" customHeight="1" x14ac:dyDescent="0.2">
      <c r="B700" s="199" t="s">
        <v>495</v>
      </c>
      <c r="C700" s="244"/>
      <c r="D700" s="239"/>
      <c r="E700" s="239"/>
      <c r="F700" s="239"/>
      <c r="G700" s="199"/>
      <c r="H700" s="239"/>
      <c r="I700" s="239"/>
      <c r="J700" s="410" t="s">
        <v>1252</v>
      </c>
      <c r="K700" s="440">
        <f>IFERROR(in_kind_total/(in_kind_total+cash_cofinancing_total),0)</f>
        <v>0</v>
      </c>
      <c r="L700" s="102"/>
      <c r="N700" s="243"/>
      <c r="O700" s="247"/>
    </row>
    <row r="701" spans="2:17" s="78" customFormat="1" ht="24" customHeight="1" x14ac:dyDescent="0.2">
      <c r="B701" s="199" t="s">
        <v>496</v>
      </c>
      <c r="C701" s="244"/>
      <c r="D701" s="239"/>
      <c r="E701" s="239"/>
      <c r="F701" s="239"/>
      <c r="G701" s="199"/>
      <c r="H701" s="239"/>
      <c r="I701" s="239"/>
      <c r="J701" s="245" t="s">
        <v>1253</v>
      </c>
      <c r="K701" s="228">
        <f>ROUND(K689*0.85,0)</f>
        <v>0</v>
      </c>
      <c r="L701" s="102"/>
      <c r="N701" s="115"/>
    </row>
    <row r="702" spans="2:17" s="78" customFormat="1" ht="24" customHeight="1" x14ac:dyDescent="0.2">
      <c r="B702" s="199" t="s">
        <v>497</v>
      </c>
      <c r="C702" s="244"/>
      <c r="D702" s="239"/>
      <c r="E702" s="239"/>
      <c r="F702" s="239"/>
      <c r="G702" s="199"/>
      <c r="H702" s="239"/>
      <c r="I702" s="239"/>
      <c r="J702" s="245" t="s">
        <v>1254</v>
      </c>
      <c r="K702" s="228">
        <f>K689-K701</f>
        <v>0</v>
      </c>
      <c r="L702" s="102"/>
      <c r="N702" s="115"/>
    </row>
    <row r="703" spans="2:17" ht="3.95" customHeight="1" x14ac:dyDescent="0.2">
      <c r="B703" s="4"/>
      <c r="C703" s="4"/>
      <c r="D703" s="4"/>
      <c r="E703" s="4"/>
      <c r="F703" s="4"/>
      <c r="G703" s="4"/>
      <c r="H703" s="4"/>
      <c r="I703" s="4"/>
      <c r="J703" s="4"/>
      <c r="K703" s="111"/>
      <c r="L703" s="4"/>
    </row>
    <row r="704" spans="2:17" s="4" customFormat="1" ht="7.5" customHeight="1" x14ac:dyDescent="0.2">
      <c r="C704" s="212"/>
      <c r="D704" s="248"/>
      <c r="E704" s="248"/>
      <c r="F704" s="248"/>
      <c r="G704" s="248"/>
      <c r="H704" s="248"/>
      <c r="I704" s="248"/>
      <c r="J704" s="248"/>
      <c r="K704" s="248"/>
      <c r="L704" s="61"/>
    </row>
    <row r="705" spans="2:14" ht="18" customHeight="1" x14ac:dyDescent="0.2">
      <c r="B705" s="108" t="s">
        <v>1255</v>
      </c>
      <c r="C705" s="109"/>
      <c r="D705" s="109"/>
      <c r="E705" s="109"/>
      <c r="F705" s="109"/>
      <c r="G705" s="109"/>
      <c r="H705" s="109"/>
      <c r="I705" s="109"/>
      <c r="J705" s="109"/>
      <c r="K705" s="109"/>
      <c r="L705" s="110"/>
    </row>
    <row r="706" spans="2:14" s="78" customFormat="1" ht="24" customHeight="1" x14ac:dyDescent="0.2">
      <c r="B706" s="199"/>
      <c r="C706" s="244"/>
      <c r="D706" s="239"/>
      <c r="E706" s="239"/>
      <c r="F706" s="239"/>
      <c r="G706" s="199"/>
      <c r="H706" s="239"/>
      <c r="I706" s="239"/>
      <c r="J706" s="245"/>
      <c r="K706" s="270"/>
      <c r="L706" s="97"/>
      <c r="N706" s="115"/>
    </row>
    <row r="707" spans="2:14" customFormat="1" ht="24" customHeight="1" x14ac:dyDescent="0.2">
      <c r="B707" s="442" t="s">
        <v>498</v>
      </c>
      <c r="C707" s="411" t="s">
        <v>1256</v>
      </c>
      <c r="D707" s="412"/>
      <c r="E707" s="412"/>
      <c r="F707" s="412"/>
      <c r="G707" s="412"/>
      <c r="H707" s="412"/>
      <c r="J707" s="682"/>
      <c r="K707" s="683"/>
    </row>
    <row r="708" spans="2:14" customFormat="1" ht="24" customHeight="1" x14ac:dyDescent="0.2">
      <c r="C708" s="399"/>
    </row>
    <row r="709" spans="2:14" s="78" customFormat="1" ht="47.25" customHeight="1" x14ac:dyDescent="0.2">
      <c r="B709" s="684" t="s">
        <v>499</v>
      </c>
      <c r="C709" s="507" t="s">
        <v>1257</v>
      </c>
      <c r="D709" s="508"/>
      <c r="E709" s="508"/>
      <c r="F709" s="509"/>
      <c r="G709" s="457" t="s">
        <v>1258</v>
      </c>
      <c r="H709" s="457" t="s">
        <v>1259</v>
      </c>
      <c r="I709" s="457" t="s">
        <v>1260</v>
      </c>
      <c r="J709" s="459" t="s">
        <v>1261</v>
      </c>
      <c r="K709" s="460"/>
      <c r="L709" s="461"/>
      <c r="N709" s="115"/>
    </row>
    <row r="710" spans="2:14" s="78" customFormat="1" ht="33" customHeight="1" x14ac:dyDescent="0.2">
      <c r="B710" s="685"/>
      <c r="C710" s="510"/>
      <c r="D710" s="511"/>
      <c r="E710" s="511"/>
      <c r="F710" s="512"/>
      <c r="G710" s="458"/>
      <c r="H710" s="458"/>
      <c r="I710" s="458"/>
      <c r="J710" s="413" t="s">
        <v>1262</v>
      </c>
      <c r="K710" s="414" t="s">
        <v>1263</v>
      </c>
      <c r="L710" s="414" t="s">
        <v>1264</v>
      </c>
      <c r="N710" s="115"/>
    </row>
    <row r="711" spans="2:14" s="78" customFormat="1" ht="24" customHeight="1" x14ac:dyDescent="0.2">
      <c r="B711" s="271">
        <v>1</v>
      </c>
      <c r="C711" s="675"/>
      <c r="D711" s="676"/>
      <c r="E711" s="676"/>
      <c r="F711" s="677"/>
      <c r="G711" s="417"/>
      <c r="H711" s="383"/>
      <c r="I711" s="383"/>
      <c r="J711" s="383"/>
      <c r="K711" s="416"/>
      <c r="L711" s="415" t="str">
        <f>duration_calculation</f>
        <v/>
      </c>
      <c r="N711" s="115"/>
    </row>
    <row r="712" spans="2:14" s="78" customFormat="1" ht="24" customHeight="1" x14ac:dyDescent="0.2">
      <c r="B712" s="271">
        <v>2</v>
      </c>
      <c r="C712" s="675"/>
      <c r="D712" s="676"/>
      <c r="E712" s="676"/>
      <c r="F712" s="677"/>
      <c r="G712" s="417"/>
      <c r="H712" s="383"/>
      <c r="I712" s="383"/>
      <c r="J712" s="383"/>
      <c r="K712" s="416"/>
      <c r="L712" s="415" t="str">
        <f>duration_calculation</f>
        <v/>
      </c>
      <c r="N712" s="115"/>
    </row>
    <row r="713" spans="2:14" s="78" customFormat="1" ht="24" customHeight="1" x14ac:dyDescent="0.2">
      <c r="B713" s="271">
        <v>3</v>
      </c>
      <c r="C713" s="675"/>
      <c r="D713" s="676"/>
      <c r="E713" s="676"/>
      <c r="F713" s="677"/>
      <c r="G713" s="417"/>
      <c r="H713" s="383"/>
      <c r="I713" s="383"/>
      <c r="J713" s="383"/>
      <c r="K713" s="416"/>
      <c r="L713" s="415" t="str">
        <f>duration_calculation</f>
        <v/>
      </c>
      <c r="N713" s="115"/>
    </row>
    <row r="714" spans="2:14" s="78" customFormat="1" ht="24" customHeight="1" x14ac:dyDescent="0.2">
      <c r="B714" s="271">
        <v>4</v>
      </c>
      <c r="C714" s="675"/>
      <c r="D714" s="676"/>
      <c r="E714" s="676"/>
      <c r="F714" s="677"/>
      <c r="G714" s="417"/>
      <c r="H714" s="383"/>
      <c r="I714" s="383"/>
      <c r="J714" s="383"/>
      <c r="K714" s="416"/>
      <c r="L714" s="415" t="str">
        <f>duration_calculation</f>
        <v/>
      </c>
      <c r="N714" s="115"/>
    </row>
    <row r="715" spans="2:14" s="78" customFormat="1" ht="24" customHeight="1" x14ac:dyDescent="0.2">
      <c r="B715" s="271">
        <v>5</v>
      </c>
      <c r="C715" s="675"/>
      <c r="D715" s="676"/>
      <c r="E715" s="676"/>
      <c r="F715" s="677"/>
      <c r="G715" s="417"/>
      <c r="H715" s="383"/>
      <c r="I715" s="383"/>
      <c r="J715" s="383"/>
      <c r="K715" s="416"/>
      <c r="L715" s="415" t="str">
        <f>duration_calculation</f>
        <v/>
      </c>
      <c r="N715" s="115"/>
    </row>
    <row r="716" spans="2:14" s="78" customFormat="1" ht="24" customHeight="1" x14ac:dyDescent="0.2">
      <c r="B716" s="271">
        <v>6</v>
      </c>
      <c r="C716" s="675"/>
      <c r="D716" s="676"/>
      <c r="E716" s="676"/>
      <c r="F716" s="677"/>
      <c r="G716" s="417"/>
      <c r="H716" s="383"/>
      <c r="I716" s="383"/>
      <c r="J716" s="383"/>
      <c r="K716" s="416"/>
      <c r="L716" s="415" t="str">
        <f>duration_calculation</f>
        <v/>
      </c>
      <c r="N716" s="115"/>
    </row>
    <row r="717" spans="2:14" s="78" customFormat="1" ht="24" customHeight="1" x14ac:dyDescent="0.2">
      <c r="B717" s="271">
        <v>7</v>
      </c>
      <c r="C717" s="675"/>
      <c r="D717" s="676"/>
      <c r="E717" s="676"/>
      <c r="F717" s="677"/>
      <c r="G717" s="417"/>
      <c r="H717" s="383"/>
      <c r="I717" s="383"/>
      <c r="J717" s="383"/>
      <c r="K717" s="416"/>
      <c r="L717" s="415" t="str">
        <f>duration_calculation</f>
        <v/>
      </c>
      <c r="N717" s="115"/>
    </row>
    <row r="718" spans="2:14" s="78" customFormat="1" ht="24" customHeight="1" x14ac:dyDescent="0.2">
      <c r="B718" s="271">
        <v>8</v>
      </c>
      <c r="C718" s="675"/>
      <c r="D718" s="676"/>
      <c r="E718" s="676"/>
      <c r="F718" s="677"/>
      <c r="G718" s="417"/>
      <c r="H718" s="383"/>
      <c r="I718" s="383"/>
      <c r="J718" s="383"/>
      <c r="K718" s="416"/>
      <c r="L718" s="415" t="str">
        <f>duration_calculation</f>
        <v/>
      </c>
      <c r="N718" s="115"/>
    </row>
    <row r="719" spans="2:14" s="78" customFormat="1" ht="24" customHeight="1" x14ac:dyDescent="0.2">
      <c r="B719" s="271">
        <v>9</v>
      </c>
      <c r="C719" s="675"/>
      <c r="D719" s="676"/>
      <c r="E719" s="676"/>
      <c r="F719" s="677"/>
      <c r="G719" s="417"/>
      <c r="H719" s="383"/>
      <c r="I719" s="383"/>
      <c r="J719" s="383"/>
      <c r="K719" s="416"/>
      <c r="L719" s="415" t="str">
        <f>duration_calculation</f>
        <v/>
      </c>
      <c r="N719" s="115"/>
    </row>
    <row r="720" spans="2:14" s="78" customFormat="1" ht="24" customHeight="1" x14ac:dyDescent="0.2">
      <c r="B720" s="271">
        <v>10</v>
      </c>
      <c r="C720" s="675"/>
      <c r="D720" s="676"/>
      <c r="E720" s="676"/>
      <c r="F720" s="677"/>
      <c r="G720" s="417"/>
      <c r="H720" s="383"/>
      <c r="I720" s="383"/>
      <c r="J720" s="383"/>
      <c r="K720" s="416"/>
      <c r="L720" s="415" t="str">
        <f>duration_calculation</f>
        <v/>
      </c>
      <c r="N720" s="115"/>
    </row>
    <row r="721" spans="2:14" s="78" customFormat="1" ht="24" customHeight="1" x14ac:dyDescent="0.2">
      <c r="B721" s="271">
        <v>11</v>
      </c>
      <c r="C721" s="675"/>
      <c r="D721" s="676"/>
      <c r="E721" s="676"/>
      <c r="F721" s="677"/>
      <c r="G721" s="417"/>
      <c r="H721" s="383"/>
      <c r="I721" s="383"/>
      <c r="J721" s="383"/>
      <c r="K721" s="416"/>
      <c r="L721" s="415" t="str">
        <f>duration_calculation</f>
        <v/>
      </c>
      <c r="N721" s="115"/>
    </row>
    <row r="722" spans="2:14" s="78" customFormat="1" ht="24" customHeight="1" x14ac:dyDescent="0.2">
      <c r="B722" s="271">
        <v>12</v>
      </c>
      <c r="C722" s="675"/>
      <c r="D722" s="676"/>
      <c r="E722" s="676"/>
      <c r="F722" s="677"/>
      <c r="G722" s="417"/>
      <c r="H722" s="383"/>
      <c r="I722" s="383"/>
      <c r="J722" s="383"/>
      <c r="K722" s="416"/>
      <c r="L722" s="415" t="str">
        <f>duration_calculation</f>
        <v/>
      </c>
      <c r="N722" s="115"/>
    </row>
    <row r="723" spans="2:14" s="78" customFormat="1" ht="24" customHeight="1" x14ac:dyDescent="0.2">
      <c r="B723" s="271">
        <v>13</v>
      </c>
      <c r="C723" s="675"/>
      <c r="D723" s="676"/>
      <c r="E723" s="676"/>
      <c r="F723" s="677"/>
      <c r="G723" s="417"/>
      <c r="H723" s="383"/>
      <c r="I723" s="383"/>
      <c r="J723" s="383"/>
      <c r="K723" s="416"/>
      <c r="L723" s="415" t="str">
        <f>duration_calculation</f>
        <v/>
      </c>
      <c r="N723" s="115"/>
    </row>
    <row r="724" spans="2:14" s="78" customFormat="1" ht="24" customHeight="1" x14ac:dyDescent="0.2">
      <c r="B724" s="271">
        <v>14</v>
      </c>
      <c r="C724" s="675"/>
      <c r="D724" s="676"/>
      <c r="E724" s="676"/>
      <c r="F724" s="677"/>
      <c r="G724" s="417"/>
      <c r="H724" s="383"/>
      <c r="I724" s="383"/>
      <c r="J724" s="383"/>
      <c r="K724" s="416"/>
      <c r="L724" s="415" t="str">
        <f>duration_calculation</f>
        <v/>
      </c>
      <c r="N724" s="115"/>
    </row>
    <row r="725" spans="2:14" s="78" customFormat="1" ht="24" customHeight="1" x14ac:dyDescent="0.2">
      <c r="B725" s="271">
        <v>15</v>
      </c>
      <c r="C725" s="675"/>
      <c r="D725" s="676"/>
      <c r="E725" s="676"/>
      <c r="F725" s="677"/>
      <c r="G725" s="417"/>
      <c r="H725" s="383"/>
      <c r="I725" s="383"/>
      <c r="J725" s="383"/>
      <c r="K725" s="416"/>
      <c r="L725" s="415" t="str">
        <f>duration_calculation</f>
        <v/>
      </c>
      <c r="N725" s="115"/>
    </row>
    <row r="726" spans="2:14" s="78" customFormat="1" ht="24" customHeight="1" x14ac:dyDescent="0.2">
      <c r="B726" s="271">
        <v>16</v>
      </c>
      <c r="C726" s="675"/>
      <c r="D726" s="676"/>
      <c r="E726" s="676"/>
      <c r="F726" s="677"/>
      <c r="G726" s="417"/>
      <c r="H726" s="383"/>
      <c r="I726" s="383"/>
      <c r="J726" s="383"/>
      <c r="K726" s="416"/>
      <c r="L726" s="415" t="str">
        <f>duration_calculation</f>
        <v/>
      </c>
      <c r="N726" s="115"/>
    </row>
    <row r="727" spans="2:14" s="78" customFormat="1" ht="24" customHeight="1" x14ac:dyDescent="0.2">
      <c r="B727" s="271">
        <v>17</v>
      </c>
      <c r="C727" s="675"/>
      <c r="D727" s="676"/>
      <c r="E727" s="676"/>
      <c r="F727" s="677"/>
      <c r="G727" s="417"/>
      <c r="H727" s="383"/>
      <c r="I727" s="383"/>
      <c r="J727" s="383"/>
      <c r="K727" s="416"/>
      <c r="L727" s="415" t="str">
        <f>duration_calculation</f>
        <v/>
      </c>
      <c r="N727" s="115"/>
    </row>
    <row r="728" spans="2:14" s="78" customFormat="1" ht="24" customHeight="1" x14ac:dyDescent="0.2">
      <c r="B728" s="271">
        <v>18</v>
      </c>
      <c r="C728" s="675"/>
      <c r="D728" s="676"/>
      <c r="E728" s="676"/>
      <c r="F728" s="677"/>
      <c r="G728" s="417"/>
      <c r="H728" s="383"/>
      <c r="I728" s="383"/>
      <c r="J728" s="383"/>
      <c r="K728" s="416"/>
      <c r="L728" s="415" t="str">
        <f>duration_calculation</f>
        <v/>
      </c>
      <c r="N728" s="115"/>
    </row>
    <row r="729" spans="2:14" s="78" customFormat="1" ht="24" customHeight="1" x14ac:dyDescent="0.2">
      <c r="B729" s="271">
        <v>19</v>
      </c>
      <c r="C729" s="675"/>
      <c r="D729" s="676"/>
      <c r="E729" s="676"/>
      <c r="F729" s="677"/>
      <c r="G729" s="417"/>
      <c r="H729" s="383"/>
      <c r="I729" s="383"/>
      <c r="J729" s="383"/>
      <c r="K729" s="416"/>
      <c r="L729" s="415" t="str">
        <f>duration_calculation</f>
        <v/>
      </c>
      <c r="N729" s="115"/>
    </row>
    <row r="730" spans="2:14" s="78" customFormat="1" ht="24" customHeight="1" x14ac:dyDescent="0.2">
      <c r="B730" s="271">
        <v>20</v>
      </c>
      <c r="C730" s="675"/>
      <c r="D730" s="676"/>
      <c r="E730" s="676"/>
      <c r="F730" s="677"/>
      <c r="G730" s="417"/>
      <c r="H730" s="383"/>
      <c r="I730" s="383"/>
      <c r="J730" s="383"/>
      <c r="K730" s="416"/>
      <c r="L730" s="415" t="str">
        <f>duration_calculation</f>
        <v/>
      </c>
      <c r="N730" s="115"/>
    </row>
    <row r="731" spans="2:14" s="78" customFormat="1" ht="24" customHeight="1" x14ac:dyDescent="0.2">
      <c r="B731" s="271">
        <v>21</v>
      </c>
      <c r="C731" s="675"/>
      <c r="D731" s="676"/>
      <c r="E731" s="676"/>
      <c r="F731" s="677"/>
      <c r="G731" s="417"/>
      <c r="H731" s="383"/>
      <c r="I731" s="383"/>
      <c r="J731" s="383"/>
      <c r="K731" s="416"/>
      <c r="L731" s="415" t="str">
        <f>duration_calculation</f>
        <v/>
      </c>
      <c r="N731" s="115"/>
    </row>
    <row r="732" spans="2:14" s="78" customFormat="1" ht="24" customHeight="1" x14ac:dyDescent="0.2">
      <c r="B732" s="271">
        <v>22</v>
      </c>
      <c r="C732" s="675"/>
      <c r="D732" s="676"/>
      <c r="E732" s="676"/>
      <c r="F732" s="677"/>
      <c r="G732" s="417"/>
      <c r="H732" s="383"/>
      <c r="I732" s="383"/>
      <c r="J732" s="383"/>
      <c r="K732" s="416"/>
      <c r="L732" s="415" t="str">
        <f>duration_calculation</f>
        <v/>
      </c>
      <c r="N732" s="115"/>
    </row>
    <row r="733" spans="2:14" s="78" customFormat="1" ht="24" customHeight="1" x14ac:dyDescent="0.2">
      <c r="B733" s="271">
        <v>23</v>
      </c>
      <c r="C733" s="675"/>
      <c r="D733" s="676"/>
      <c r="E733" s="676"/>
      <c r="F733" s="677"/>
      <c r="G733" s="417"/>
      <c r="H733" s="383"/>
      <c r="I733" s="383"/>
      <c r="J733" s="383"/>
      <c r="K733" s="416"/>
      <c r="L733" s="415" t="str">
        <f>duration_calculation</f>
        <v/>
      </c>
      <c r="N733" s="115"/>
    </row>
    <row r="734" spans="2:14" s="78" customFormat="1" ht="24" customHeight="1" x14ac:dyDescent="0.2">
      <c r="B734" s="271">
        <v>24</v>
      </c>
      <c r="C734" s="675"/>
      <c r="D734" s="676"/>
      <c r="E734" s="676"/>
      <c r="F734" s="677"/>
      <c r="G734" s="417"/>
      <c r="H734" s="383"/>
      <c r="I734" s="383"/>
      <c r="J734" s="383"/>
      <c r="K734" s="416"/>
      <c r="L734" s="415" t="str">
        <f>duration_calculation</f>
        <v/>
      </c>
      <c r="N734" s="115"/>
    </row>
    <row r="735" spans="2:14" s="78" customFormat="1" ht="24" customHeight="1" x14ac:dyDescent="0.2">
      <c r="B735" s="271">
        <v>25</v>
      </c>
      <c r="C735" s="675"/>
      <c r="D735" s="676"/>
      <c r="E735" s="676"/>
      <c r="F735" s="677"/>
      <c r="G735" s="417"/>
      <c r="H735" s="383"/>
      <c r="I735" s="383"/>
      <c r="J735" s="383"/>
      <c r="K735" s="416"/>
      <c r="L735" s="415" t="str">
        <f>duration_calculation</f>
        <v/>
      </c>
      <c r="N735" s="115"/>
    </row>
    <row r="736" spans="2:14" s="78" customFormat="1" ht="24" customHeight="1" x14ac:dyDescent="0.2">
      <c r="B736" s="271">
        <v>26</v>
      </c>
      <c r="C736" s="675"/>
      <c r="D736" s="676"/>
      <c r="E736" s="676"/>
      <c r="F736" s="677"/>
      <c r="G736" s="417"/>
      <c r="H736" s="383"/>
      <c r="I736" s="383"/>
      <c r="J736" s="383"/>
      <c r="K736" s="416"/>
      <c r="L736" s="415" t="str">
        <f>duration_calculation</f>
        <v/>
      </c>
      <c r="N736" s="115"/>
    </row>
    <row r="737" spans="2:14" s="78" customFormat="1" ht="24" customHeight="1" x14ac:dyDescent="0.2">
      <c r="B737" s="271">
        <v>27</v>
      </c>
      <c r="C737" s="675"/>
      <c r="D737" s="676"/>
      <c r="E737" s="676"/>
      <c r="F737" s="677"/>
      <c r="G737" s="417"/>
      <c r="H737" s="383"/>
      <c r="I737" s="383"/>
      <c r="J737" s="383"/>
      <c r="K737" s="416"/>
      <c r="L737" s="415" t="str">
        <f>duration_calculation</f>
        <v/>
      </c>
      <c r="N737" s="115"/>
    </row>
    <row r="738" spans="2:14" s="78" customFormat="1" ht="24" customHeight="1" x14ac:dyDescent="0.2">
      <c r="B738" s="271">
        <v>28</v>
      </c>
      <c r="C738" s="675"/>
      <c r="D738" s="676"/>
      <c r="E738" s="676"/>
      <c r="F738" s="677"/>
      <c r="G738" s="417"/>
      <c r="H738" s="383"/>
      <c r="I738" s="383"/>
      <c r="J738" s="383"/>
      <c r="K738" s="416"/>
      <c r="L738" s="415" t="str">
        <f>duration_calculation</f>
        <v/>
      </c>
      <c r="N738" s="115"/>
    </row>
    <row r="739" spans="2:14" s="78" customFormat="1" ht="24" customHeight="1" x14ac:dyDescent="0.2">
      <c r="B739" s="271">
        <v>29</v>
      </c>
      <c r="C739" s="675"/>
      <c r="D739" s="676"/>
      <c r="E739" s="676"/>
      <c r="F739" s="677"/>
      <c r="G739" s="417"/>
      <c r="H739" s="383"/>
      <c r="I739" s="383"/>
      <c r="J739" s="383"/>
      <c r="K739" s="416"/>
      <c r="L739" s="415" t="str">
        <f>duration_calculation</f>
        <v/>
      </c>
      <c r="N739" s="115"/>
    </row>
    <row r="740" spans="2:14" s="78" customFormat="1" ht="24" customHeight="1" x14ac:dyDescent="0.2">
      <c r="B740" s="271">
        <v>30</v>
      </c>
      <c r="C740" s="675"/>
      <c r="D740" s="676"/>
      <c r="E740" s="676"/>
      <c r="F740" s="677"/>
      <c r="G740" s="417"/>
      <c r="H740" s="383"/>
      <c r="I740" s="383"/>
      <c r="J740" s="383"/>
      <c r="K740" s="416"/>
      <c r="L740" s="415" t="str">
        <f>duration_calculation</f>
        <v/>
      </c>
      <c r="N740" s="115"/>
    </row>
    <row r="741" spans="2:14" s="78" customFormat="1" ht="24" customHeight="1" x14ac:dyDescent="0.2">
      <c r="B741" s="271">
        <v>31</v>
      </c>
      <c r="C741" s="675"/>
      <c r="D741" s="676"/>
      <c r="E741" s="676"/>
      <c r="F741" s="677"/>
      <c r="G741" s="417"/>
      <c r="H741" s="383"/>
      <c r="I741" s="383"/>
      <c r="J741" s="383"/>
      <c r="K741" s="416"/>
      <c r="L741" s="415" t="str">
        <f>duration_calculation</f>
        <v/>
      </c>
      <c r="N741" s="115"/>
    </row>
    <row r="742" spans="2:14" s="78" customFormat="1" ht="24" customHeight="1" x14ac:dyDescent="0.2">
      <c r="B742" s="271">
        <v>32</v>
      </c>
      <c r="C742" s="675"/>
      <c r="D742" s="676"/>
      <c r="E742" s="676"/>
      <c r="F742" s="677"/>
      <c r="G742" s="417"/>
      <c r="H742" s="383"/>
      <c r="I742" s="383"/>
      <c r="J742" s="383"/>
      <c r="K742" s="416"/>
      <c r="L742" s="415" t="str">
        <f>duration_calculation</f>
        <v/>
      </c>
      <c r="N742" s="115"/>
    </row>
    <row r="743" spans="2:14" s="78" customFormat="1" ht="24" customHeight="1" x14ac:dyDescent="0.2">
      <c r="B743" s="271">
        <v>33</v>
      </c>
      <c r="C743" s="675"/>
      <c r="D743" s="676"/>
      <c r="E743" s="676"/>
      <c r="F743" s="677"/>
      <c r="G743" s="417"/>
      <c r="H743" s="383"/>
      <c r="I743" s="383"/>
      <c r="J743" s="383"/>
      <c r="K743" s="416"/>
      <c r="L743" s="415" t="str">
        <f>duration_calculation</f>
        <v/>
      </c>
      <c r="N743" s="115"/>
    </row>
    <row r="744" spans="2:14" s="78" customFormat="1" ht="24" customHeight="1" x14ac:dyDescent="0.2">
      <c r="B744" s="271">
        <v>34</v>
      </c>
      <c r="C744" s="675"/>
      <c r="D744" s="676"/>
      <c r="E744" s="676"/>
      <c r="F744" s="677"/>
      <c r="G744" s="417"/>
      <c r="H744" s="383"/>
      <c r="I744" s="383"/>
      <c r="J744" s="383"/>
      <c r="K744" s="416"/>
      <c r="L744" s="415" t="str">
        <f>duration_calculation</f>
        <v/>
      </c>
      <c r="N744" s="115"/>
    </row>
    <row r="745" spans="2:14" s="78" customFormat="1" ht="24" customHeight="1" x14ac:dyDescent="0.2">
      <c r="B745" s="271">
        <v>35</v>
      </c>
      <c r="C745" s="675"/>
      <c r="D745" s="676"/>
      <c r="E745" s="676"/>
      <c r="F745" s="677"/>
      <c r="G745" s="417"/>
      <c r="H745" s="383"/>
      <c r="I745" s="383"/>
      <c r="J745" s="383"/>
      <c r="K745" s="416"/>
      <c r="L745" s="415" t="str">
        <f>duration_calculation</f>
        <v/>
      </c>
      <c r="N745" s="115"/>
    </row>
    <row r="746" spans="2:14" s="78" customFormat="1" ht="24" customHeight="1" x14ac:dyDescent="0.2">
      <c r="B746" s="271">
        <v>36</v>
      </c>
      <c r="C746" s="675"/>
      <c r="D746" s="676"/>
      <c r="E746" s="676"/>
      <c r="F746" s="677"/>
      <c r="G746" s="417"/>
      <c r="H746" s="383"/>
      <c r="I746" s="383"/>
      <c r="J746" s="383"/>
      <c r="K746" s="416"/>
      <c r="L746" s="415" t="str">
        <f>duration_calculation</f>
        <v/>
      </c>
      <c r="N746" s="115"/>
    </row>
    <row r="747" spans="2:14" s="78" customFormat="1" ht="24" customHeight="1" x14ac:dyDescent="0.2">
      <c r="B747" s="271">
        <v>37</v>
      </c>
      <c r="C747" s="675"/>
      <c r="D747" s="676"/>
      <c r="E747" s="676"/>
      <c r="F747" s="677"/>
      <c r="G747" s="417"/>
      <c r="H747" s="383"/>
      <c r="I747" s="383"/>
      <c r="J747" s="383"/>
      <c r="K747" s="416"/>
      <c r="L747" s="415" t="str">
        <f>duration_calculation</f>
        <v/>
      </c>
      <c r="N747" s="115"/>
    </row>
    <row r="748" spans="2:14" s="78" customFormat="1" ht="24" customHeight="1" x14ac:dyDescent="0.2">
      <c r="B748" s="271">
        <v>38</v>
      </c>
      <c r="C748" s="675"/>
      <c r="D748" s="676"/>
      <c r="E748" s="676"/>
      <c r="F748" s="677"/>
      <c r="G748" s="417"/>
      <c r="H748" s="383"/>
      <c r="I748" s="383"/>
      <c r="J748" s="383"/>
      <c r="K748" s="416"/>
      <c r="L748" s="415" t="str">
        <f>duration_calculation</f>
        <v/>
      </c>
      <c r="N748" s="115"/>
    </row>
    <row r="749" spans="2:14" s="78" customFormat="1" ht="24" customHeight="1" x14ac:dyDescent="0.2">
      <c r="B749" s="271">
        <v>39</v>
      </c>
      <c r="C749" s="675"/>
      <c r="D749" s="676"/>
      <c r="E749" s="676"/>
      <c r="F749" s="677"/>
      <c r="G749" s="417"/>
      <c r="H749" s="383"/>
      <c r="I749" s="383"/>
      <c r="J749" s="383"/>
      <c r="K749" s="416"/>
      <c r="L749" s="415" t="str">
        <f>duration_calculation</f>
        <v/>
      </c>
      <c r="N749" s="115"/>
    </row>
    <row r="750" spans="2:14" s="78" customFormat="1" ht="24" customHeight="1" x14ac:dyDescent="0.2">
      <c r="B750" s="271">
        <v>40</v>
      </c>
      <c r="C750" s="675"/>
      <c r="D750" s="676"/>
      <c r="E750" s="676"/>
      <c r="F750" s="677"/>
      <c r="G750" s="417"/>
      <c r="H750" s="383"/>
      <c r="I750" s="383"/>
      <c r="J750" s="383"/>
      <c r="K750" s="416"/>
      <c r="L750" s="415" t="str">
        <f>duration_calculation</f>
        <v/>
      </c>
      <c r="N750" s="115"/>
    </row>
    <row r="751" spans="2:14" customFormat="1" ht="24" customHeight="1" x14ac:dyDescent="0.2"/>
    <row r="752" spans="2:14" s="78" customFormat="1" ht="24" customHeight="1" x14ac:dyDescent="0.2">
      <c r="B752" s="199"/>
      <c r="C752" s="244"/>
      <c r="D752" s="239"/>
      <c r="E752" s="239"/>
      <c r="F752" s="239"/>
      <c r="G752" s="199"/>
      <c r="H752" s="239"/>
      <c r="I752" s="239"/>
      <c r="J752" s="245"/>
      <c r="K752" s="270"/>
      <c r="L752" s="97"/>
      <c r="N752" s="115"/>
    </row>
    <row r="753" spans="2:14" s="117" customFormat="1" ht="3.95" customHeight="1" x14ac:dyDescent="0.2">
      <c r="C753" s="120"/>
      <c r="D753" s="121"/>
      <c r="E753" s="123"/>
      <c r="F753" s="123"/>
      <c r="G753" s="123"/>
      <c r="H753" s="123"/>
      <c r="I753" s="123"/>
      <c r="J753" s="123"/>
      <c r="K753" s="123"/>
      <c r="L753" s="123"/>
    </row>
    <row r="754" spans="2:14" ht="18" customHeight="1" x14ac:dyDescent="0.2">
      <c r="B754" s="249" t="s">
        <v>1265</v>
      </c>
      <c r="C754" s="249"/>
      <c r="D754" s="75"/>
      <c r="E754" s="75"/>
      <c r="F754" s="75"/>
      <c r="G754" s="75"/>
      <c r="H754" s="75"/>
      <c r="I754" s="75"/>
      <c r="J754" s="75"/>
      <c r="K754" s="75"/>
      <c r="L754" s="75"/>
    </row>
    <row r="755" spans="2:14" ht="18" customHeight="1" x14ac:dyDescent="0.2">
      <c r="B755" s="240" t="s">
        <v>1266</v>
      </c>
      <c r="C755" s="25"/>
      <c r="D755" s="25"/>
      <c r="E755" s="25"/>
      <c r="F755" s="25"/>
      <c r="G755" s="25"/>
      <c r="H755" s="25"/>
      <c r="I755" s="25"/>
      <c r="J755" s="25"/>
      <c r="K755" s="25"/>
      <c r="L755" s="26"/>
    </row>
    <row r="756" spans="2:14" ht="18" customHeight="1" x14ac:dyDescent="0.2">
      <c r="B756" s="130"/>
      <c r="C756" s="72"/>
      <c r="D756" s="131"/>
      <c r="E756" s="131"/>
      <c r="F756" s="131"/>
      <c r="G756" s="131"/>
      <c r="H756" s="131"/>
      <c r="I756" s="131"/>
      <c r="J756" s="131"/>
      <c r="K756" s="131"/>
      <c r="L756" s="179"/>
      <c r="N756" s="119"/>
    </row>
    <row r="757" spans="2:14" ht="18" customHeight="1" x14ac:dyDescent="0.2">
      <c r="B757" s="130"/>
      <c r="C757" s="72"/>
      <c r="D757" s="131"/>
      <c r="E757" s="131"/>
      <c r="F757" s="131"/>
      <c r="G757" s="131"/>
      <c r="H757" s="131"/>
      <c r="I757" s="131"/>
      <c r="J757" s="131"/>
      <c r="K757" s="131"/>
      <c r="L757" s="179"/>
    </row>
    <row r="758" spans="2:14" ht="18" customHeight="1" x14ac:dyDescent="0.2">
      <c r="B758" s="130"/>
      <c r="C758" s="72"/>
      <c r="D758" s="131"/>
      <c r="E758" s="131"/>
      <c r="F758" s="131"/>
      <c r="G758" s="131"/>
      <c r="H758" s="131"/>
      <c r="I758" s="131"/>
      <c r="J758" s="131"/>
      <c r="K758" s="131"/>
      <c r="L758" s="179"/>
    </row>
    <row r="759" spans="2:14" ht="18" customHeight="1" x14ac:dyDescent="0.2">
      <c r="B759" s="130"/>
      <c r="C759" s="72"/>
      <c r="D759" s="131"/>
      <c r="E759" s="131"/>
      <c r="F759" s="131"/>
      <c r="G759" s="131"/>
      <c r="H759" s="131"/>
      <c r="I759" s="131"/>
      <c r="J759" s="131"/>
      <c r="K759" s="131"/>
      <c r="L759" s="179"/>
    </row>
    <row r="760" spans="2:14" ht="18" customHeight="1" x14ac:dyDescent="0.2">
      <c r="B760" s="130"/>
      <c r="C760" s="72"/>
      <c r="D760" s="131"/>
      <c r="E760" s="131"/>
      <c r="F760" s="131"/>
      <c r="G760" s="131"/>
      <c r="H760" s="131"/>
      <c r="I760" s="131"/>
      <c r="J760" s="131"/>
      <c r="K760" s="131"/>
      <c r="L760" s="179"/>
    </row>
    <row r="761" spans="2:14" ht="18" customHeight="1" x14ac:dyDescent="0.2">
      <c r="B761" s="130"/>
      <c r="C761" s="72"/>
      <c r="D761" s="131"/>
      <c r="E761" s="131"/>
      <c r="F761" s="131"/>
      <c r="G761" s="131"/>
      <c r="H761" s="131"/>
      <c r="I761" s="131"/>
      <c r="J761" s="131"/>
      <c r="K761" s="131"/>
      <c r="L761" s="179"/>
    </row>
    <row r="762" spans="2:14" ht="18" customHeight="1" x14ac:dyDescent="0.2">
      <c r="B762" s="130"/>
      <c r="C762" s="72"/>
      <c r="D762" s="131"/>
      <c r="E762" s="131"/>
      <c r="F762" s="131"/>
      <c r="G762" s="131"/>
      <c r="H762" s="131"/>
      <c r="I762" s="131"/>
      <c r="J762" s="131"/>
      <c r="K762" s="131"/>
      <c r="L762" s="179"/>
    </row>
    <row r="763" spans="2:14" ht="18" customHeight="1" x14ac:dyDescent="0.2">
      <c r="B763" s="130"/>
      <c r="C763" s="72"/>
      <c r="D763" s="131"/>
      <c r="E763" s="131"/>
      <c r="F763" s="131"/>
      <c r="G763" s="131"/>
      <c r="H763" s="131"/>
      <c r="I763" s="131"/>
      <c r="J763" s="131"/>
      <c r="K763" s="131"/>
      <c r="L763" s="179"/>
    </row>
    <row r="764" spans="2:14" ht="18" customHeight="1" x14ac:dyDescent="0.2">
      <c r="B764" s="130"/>
      <c r="C764" s="72"/>
      <c r="D764" s="131"/>
      <c r="E764" s="131"/>
      <c r="F764" s="131"/>
      <c r="G764" s="131"/>
      <c r="H764" s="131"/>
      <c r="I764" s="131"/>
      <c r="J764" s="131"/>
      <c r="K764" s="131"/>
      <c r="L764" s="179"/>
    </row>
    <row r="765" spans="2:14" ht="18" customHeight="1" x14ac:dyDescent="0.2">
      <c r="B765" s="130"/>
      <c r="C765" s="72"/>
      <c r="D765" s="131"/>
      <c r="E765" s="131"/>
      <c r="F765" s="131"/>
      <c r="G765" s="131"/>
      <c r="H765" s="131"/>
      <c r="I765" s="131"/>
      <c r="J765" s="131"/>
      <c r="K765" s="131"/>
      <c r="L765" s="179"/>
    </row>
    <row r="766" spans="2:14" ht="18" customHeight="1" x14ac:dyDescent="0.2">
      <c r="B766" s="130"/>
      <c r="C766" s="72"/>
      <c r="D766" s="131"/>
      <c r="E766" s="131"/>
      <c r="F766" s="131"/>
      <c r="G766" s="131"/>
      <c r="H766" s="131"/>
      <c r="I766" s="131"/>
      <c r="J766" s="131"/>
      <c r="K766" s="131"/>
      <c r="L766" s="179"/>
    </row>
    <row r="767" spans="2:14" ht="18" customHeight="1" x14ac:dyDescent="0.2">
      <c r="B767" s="130"/>
      <c r="C767" s="72"/>
      <c r="D767" s="131"/>
      <c r="E767" s="131"/>
      <c r="F767" s="131"/>
      <c r="G767" s="131"/>
      <c r="H767" s="131"/>
      <c r="I767" s="131"/>
      <c r="J767" s="131"/>
      <c r="K767" s="131"/>
      <c r="L767" s="179"/>
    </row>
    <row r="768" spans="2:14" ht="18" customHeight="1" x14ac:dyDescent="0.2">
      <c r="B768" s="130"/>
      <c r="C768" s="72"/>
      <c r="D768" s="131"/>
      <c r="E768" s="131"/>
      <c r="F768" s="131"/>
      <c r="G768" s="131"/>
      <c r="H768" s="131"/>
      <c r="I768" s="131"/>
      <c r="J768" s="131"/>
      <c r="K768" s="131"/>
      <c r="L768" s="179"/>
    </row>
    <row r="769" spans="2:14" ht="18" customHeight="1" x14ac:dyDescent="0.2">
      <c r="B769" s="174"/>
      <c r="C769" s="172"/>
      <c r="D769" s="175"/>
      <c r="E769" s="175"/>
      <c r="F769" s="175"/>
      <c r="G769" s="175"/>
      <c r="H769" s="175"/>
      <c r="I769" s="175"/>
      <c r="J769" s="175"/>
      <c r="K769" s="175"/>
      <c r="L769" s="176"/>
    </row>
    <row r="770" spans="2:14" ht="18" customHeight="1" x14ac:dyDescent="0.2">
      <c r="B770" s="240" t="s">
        <v>1434</v>
      </c>
      <c r="C770" s="25"/>
      <c r="D770" s="25"/>
      <c r="E770" s="25"/>
      <c r="F770" s="25"/>
      <c r="G770" s="25"/>
      <c r="H770" s="25"/>
      <c r="I770" s="25"/>
      <c r="J770" s="25"/>
      <c r="K770" s="25"/>
      <c r="L770" s="26"/>
    </row>
    <row r="771" spans="2:14" ht="18" customHeight="1" x14ac:dyDescent="0.2">
      <c r="B771" s="130"/>
      <c r="C771" s="72"/>
      <c r="D771" s="131"/>
      <c r="E771" s="131"/>
      <c r="F771" s="131"/>
      <c r="G771" s="131"/>
      <c r="H771" s="131"/>
      <c r="I771" s="131"/>
      <c r="J771" s="131"/>
      <c r="K771" s="131"/>
      <c r="L771" s="179"/>
      <c r="N771" s="119"/>
    </row>
    <row r="772" spans="2:14" ht="18" customHeight="1" x14ac:dyDescent="0.2">
      <c r="B772" s="130"/>
      <c r="C772" s="72"/>
      <c r="D772" s="131"/>
      <c r="E772" s="131"/>
      <c r="F772" s="131"/>
      <c r="G772" s="131"/>
      <c r="H772" s="131"/>
      <c r="I772" s="131"/>
      <c r="J772" s="131"/>
      <c r="K772" s="131"/>
      <c r="L772" s="179"/>
    </row>
    <row r="773" spans="2:14" ht="18" customHeight="1" x14ac:dyDescent="0.2">
      <c r="B773" s="130"/>
      <c r="C773" s="72"/>
      <c r="D773" s="131"/>
      <c r="E773" s="131"/>
      <c r="F773" s="131"/>
      <c r="G773" s="131"/>
      <c r="H773" s="131"/>
      <c r="I773" s="131"/>
      <c r="J773" s="131"/>
      <c r="K773" s="131"/>
      <c r="L773" s="179"/>
    </row>
    <row r="774" spans="2:14" ht="18" customHeight="1" x14ac:dyDescent="0.2">
      <c r="B774" s="130"/>
      <c r="C774" s="72"/>
      <c r="D774" s="131"/>
      <c r="E774" s="131"/>
      <c r="F774" s="131"/>
      <c r="G774" s="131"/>
      <c r="H774" s="131"/>
      <c r="I774" s="131"/>
      <c r="J774" s="131"/>
      <c r="K774" s="131"/>
      <c r="L774" s="179"/>
    </row>
    <row r="775" spans="2:14" ht="18" customHeight="1" x14ac:dyDescent="0.2">
      <c r="B775" s="130"/>
      <c r="C775" s="72"/>
      <c r="D775" s="131"/>
      <c r="E775" s="131"/>
      <c r="F775" s="131"/>
      <c r="G775" s="131"/>
      <c r="H775" s="131"/>
      <c r="I775" s="131"/>
      <c r="J775" s="131"/>
      <c r="K775" s="131"/>
      <c r="L775" s="179"/>
    </row>
    <row r="776" spans="2:14" ht="18" customHeight="1" x14ac:dyDescent="0.2">
      <c r="B776" s="130"/>
      <c r="C776" s="72"/>
      <c r="D776" s="131"/>
      <c r="E776" s="131"/>
      <c r="F776" s="131"/>
      <c r="G776" s="131"/>
      <c r="H776" s="131"/>
      <c r="I776" s="131"/>
      <c r="J776" s="131"/>
      <c r="K776" s="131"/>
      <c r="L776" s="179"/>
    </row>
    <row r="777" spans="2:14" ht="18" customHeight="1" x14ac:dyDescent="0.2">
      <c r="B777" s="130"/>
      <c r="C777" s="72"/>
      <c r="D777" s="131"/>
      <c r="E777" s="131"/>
      <c r="F777" s="131"/>
      <c r="G777" s="131"/>
      <c r="H777" s="131"/>
      <c r="I777" s="131"/>
      <c r="J777" s="131"/>
      <c r="K777" s="131"/>
      <c r="L777" s="179"/>
    </row>
    <row r="778" spans="2:14" ht="18" customHeight="1" x14ac:dyDescent="0.2">
      <c r="B778" s="130"/>
      <c r="C778" s="72"/>
      <c r="D778" s="131"/>
      <c r="E778" s="131"/>
      <c r="F778" s="131"/>
      <c r="G778" s="131"/>
      <c r="H778" s="131"/>
      <c r="I778" s="131"/>
      <c r="J778" s="131"/>
      <c r="K778" s="131"/>
      <c r="L778" s="179"/>
    </row>
    <row r="779" spans="2:14" ht="18" customHeight="1" x14ac:dyDescent="0.2">
      <c r="B779" s="130"/>
      <c r="C779" s="72"/>
      <c r="D779" s="131"/>
      <c r="E779" s="131"/>
      <c r="F779" s="131"/>
      <c r="G779" s="131"/>
      <c r="H779" s="131"/>
      <c r="I779" s="131"/>
      <c r="J779" s="131"/>
      <c r="K779" s="131"/>
      <c r="L779" s="179"/>
    </row>
    <row r="780" spans="2:14" ht="18" customHeight="1" x14ac:dyDescent="0.2">
      <c r="B780" s="130"/>
      <c r="C780" s="72"/>
      <c r="D780" s="131"/>
      <c r="E780" s="131"/>
      <c r="F780" s="131"/>
      <c r="G780" s="131"/>
      <c r="H780" s="131"/>
      <c r="I780" s="131"/>
      <c r="J780" s="131"/>
      <c r="K780" s="131"/>
      <c r="L780" s="179"/>
    </row>
    <row r="781" spans="2:14" ht="18" customHeight="1" x14ac:dyDescent="0.2">
      <c r="B781" s="130"/>
      <c r="C781" s="72"/>
      <c r="D781" s="131"/>
      <c r="E781" s="131"/>
      <c r="F781" s="131"/>
      <c r="G781" s="131"/>
      <c r="H781" s="131"/>
      <c r="I781" s="131"/>
      <c r="J781" s="131"/>
      <c r="K781" s="131"/>
      <c r="L781" s="179"/>
    </row>
    <row r="782" spans="2:14" ht="18" customHeight="1" x14ac:dyDescent="0.2">
      <c r="B782" s="130"/>
      <c r="C782" s="72"/>
      <c r="D782" s="131"/>
      <c r="E782" s="131"/>
      <c r="F782" s="131"/>
      <c r="G782" s="131"/>
      <c r="H782" s="131"/>
      <c r="I782" s="131"/>
      <c r="J782" s="131"/>
      <c r="K782" s="131"/>
      <c r="L782" s="179"/>
    </row>
    <row r="783" spans="2:14" ht="18" customHeight="1" x14ac:dyDescent="0.2">
      <c r="B783" s="130"/>
      <c r="C783" s="72"/>
      <c r="D783" s="131"/>
      <c r="E783" s="131"/>
      <c r="F783" s="131"/>
      <c r="G783" s="131"/>
      <c r="H783" s="131"/>
      <c r="I783" s="131"/>
      <c r="J783" s="131"/>
      <c r="K783" s="131"/>
      <c r="L783" s="179"/>
    </row>
    <row r="784" spans="2:14" ht="18" customHeight="1" x14ac:dyDescent="0.2">
      <c r="B784" s="174"/>
      <c r="C784" s="172"/>
      <c r="D784" s="175"/>
      <c r="E784" s="175"/>
      <c r="F784" s="175"/>
      <c r="G784" s="175"/>
      <c r="H784" s="175"/>
      <c r="I784" s="175"/>
      <c r="J784" s="175"/>
      <c r="K784" s="175"/>
      <c r="L784" s="176"/>
    </row>
    <row r="785" spans="2:12" ht="18" customHeight="1" x14ac:dyDescent="0.2">
      <c r="B785" s="240" t="s">
        <v>1435</v>
      </c>
      <c r="C785" s="25"/>
      <c r="D785" s="25"/>
      <c r="E785" s="25"/>
      <c r="F785" s="25"/>
      <c r="G785" s="25"/>
      <c r="H785" s="25"/>
      <c r="I785" s="25"/>
      <c r="J785" s="25"/>
      <c r="K785" s="25"/>
      <c r="L785" s="26"/>
    </row>
    <row r="786" spans="2:12" ht="18" customHeight="1" x14ac:dyDescent="0.2">
      <c r="B786" s="130"/>
      <c r="C786" s="72"/>
      <c r="D786" s="131"/>
      <c r="E786" s="131"/>
      <c r="F786" s="131"/>
      <c r="G786" s="131"/>
      <c r="H786" s="131"/>
      <c r="I786" s="131"/>
      <c r="J786" s="131"/>
      <c r="K786" s="131"/>
      <c r="L786" s="179"/>
    </row>
    <row r="787" spans="2:12" ht="18" customHeight="1" x14ac:dyDescent="0.2">
      <c r="B787" s="130"/>
      <c r="C787" s="72"/>
      <c r="D787" s="131"/>
      <c r="E787" s="131"/>
      <c r="F787" s="131"/>
      <c r="G787" s="131"/>
      <c r="H787" s="131"/>
      <c r="I787" s="131"/>
      <c r="J787" s="131"/>
      <c r="K787" s="131"/>
      <c r="L787" s="179"/>
    </row>
    <row r="788" spans="2:12" ht="18" customHeight="1" x14ac:dyDescent="0.2">
      <c r="B788" s="130"/>
      <c r="C788" s="72"/>
      <c r="D788" s="131"/>
      <c r="E788" s="131"/>
      <c r="F788" s="131"/>
      <c r="G788" s="131"/>
      <c r="H788" s="131"/>
      <c r="I788" s="131"/>
      <c r="J788" s="131"/>
      <c r="K788" s="131"/>
      <c r="L788" s="179"/>
    </row>
    <row r="789" spans="2:12" ht="18" customHeight="1" x14ac:dyDescent="0.2">
      <c r="B789" s="130"/>
      <c r="C789" s="72"/>
      <c r="D789" s="131"/>
      <c r="E789" s="131"/>
      <c r="F789" s="131"/>
      <c r="G789" s="131"/>
      <c r="H789" s="131"/>
      <c r="I789" s="131"/>
      <c r="J789" s="131"/>
      <c r="K789" s="131"/>
      <c r="L789" s="179"/>
    </row>
    <row r="790" spans="2:12" ht="18" customHeight="1" x14ac:dyDescent="0.2">
      <c r="B790" s="130"/>
      <c r="C790" s="72"/>
      <c r="D790" s="131"/>
      <c r="E790" s="131"/>
      <c r="F790" s="131"/>
      <c r="G790" s="131"/>
      <c r="H790" s="131"/>
      <c r="I790" s="131"/>
      <c r="J790" s="131"/>
      <c r="K790" s="131"/>
      <c r="L790" s="179"/>
    </row>
    <row r="791" spans="2:12" ht="18" customHeight="1" x14ac:dyDescent="0.2">
      <c r="B791" s="130"/>
      <c r="C791" s="72"/>
      <c r="D791" s="131"/>
      <c r="E791" s="131"/>
      <c r="F791" s="131"/>
      <c r="G791" s="131"/>
      <c r="H791" s="131"/>
      <c r="I791" s="131"/>
      <c r="J791" s="131"/>
      <c r="K791" s="131"/>
      <c r="L791" s="179"/>
    </row>
    <row r="792" spans="2:12" ht="18" customHeight="1" x14ac:dyDescent="0.2">
      <c r="B792" s="130"/>
      <c r="C792" s="72"/>
      <c r="D792" s="131"/>
      <c r="E792" s="131"/>
      <c r="F792" s="131"/>
      <c r="G792" s="131"/>
      <c r="H792" s="131"/>
      <c r="I792" s="131"/>
      <c r="J792" s="131"/>
      <c r="K792" s="131"/>
      <c r="L792" s="179"/>
    </row>
    <row r="793" spans="2:12" ht="18" customHeight="1" x14ac:dyDescent="0.2">
      <c r="B793" s="130"/>
      <c r="C793" s="72"/>
      <c r="D793" s="131"/>
      <c r="E793" s="131"/>
      <c r="F793" s="131"/>
      <c r="G793" s="131"/>
      <c r="H793" s="131"/>
      <c r="I793" s="131"/>
      <c r="J793" s="131"/>
      <c r="K793" s="131"/>
      <c r="L793" s="179"/>
    </row>
    <row r="794" spans="2:12" ht="18" customHeight="1" x14ac:dyDescent="0.2">
      <c r="B794" s="130"/>
      <c r="C794" s="72"/>
      <c r="D794" s="131"/>
      <c r="E794" s="131"/>
      <c r="F794" s="131"/>
      <c r="G794" s="131"/>
      <c r="H794" s="131"/>
      <c r="I794" s="131"/>
      <c r="J794" s="131"/>
      <c r="K794" s="131"/>
      <c r="L794" s="179"/>
    </row>
    <row r="795" spans="2:12" ht="18" customHeight="1" x14ac:dyDescent="0.2">
      <c r="B795" s="130"/>
      <c r="C795" s="72"/>
      <c r="D795" s="131"/>
      <c r="E795" s="131"/>
      <c r="F795" s="131"/>
      <c r="G795" s="131"/>
      <c r="H795" s="131"/>
      <c r="I795" s="131"/>
      <c r="J795" s="131"/>
      <c r="K795" s="131"/>
      <c r="L795" s="179"/>
    </row>
    <row r="796" spans="2:12" ht="18" customHeight="1" x14ac:dyDescent="0.2">
      <c r="B796" s="130"/>
      <c r="C796" s="72"/>
      <c r="D796" s="131"/>
      <c r="E796" s="131"/>
      <c r="F796" s="131"/>
      <c r="G796" s="131"/>
      <c r="H796" s="131"/>
      <c r="I796" s="131"/>
      <c r="J796" s="131"/>
      <c r="K796" s="131"/>
      <c r="L796" s="179"/>
    </row>
    <row r="797" spans="2:12" ht="18" customHeight="1" x14ac:dyDescent="0.2">
      <c r="B797" s="130"/>
      <c r="C797" s="72"/>
      <c r="D797" s="131"/>
      <c r="E797" s="131"/>
      <c r="F797" s="131"/>
      <c r="G797" s="131"/>
      <c r="H797" s="131"/>
      <c r="I797" s="131"/>
      <c r="J797" s="131"/>
      <c r="K797" s="131"/>
      <c r="L797" s="179"/>
    </row>
    <row r="798" spans="2:12" ht="18" customHeight="1" x14ac:dyDescent="0.2">
      <c r="B798" s="130"/>
      <c r="C798" s="72"/>
      <c r="D798" s="131"/>
      <c r="E798" s="131"/>
      <c r="F798" s="131"/>
      <c r="G798" s="131"/>
      <c r="H798" s="131"/>
      <c r="I798" s="131"/>
      <c r="J798" s="131"/>
      <c r="K798" s="131"/>
      <c r="L798" s="179"/>
    </row>
    <row r="799" spans="2:12" ht="18" customHeight="1" x14ac:dyDescent="0.2">
      <c r="B799" s="130"/>
      <c r="C799" s="72"/>
      <c r="D799" s="131"/>
      <c r="E799" s="131"/>
      <c r="F799" s="131"/>
      <c r="G799" s="131"/>
      <c r="H799" s="131"/>
      <c r="I799" s="131"/>
      <c r="J799" s="131"/>
      <c r="K799" s="131"/>
      <c r="L799" s="179"/>
    </row>
    <row r="800" spans="2:12" ht="18" customHeight="1" x14ac:dyDescent="0.2">
      <c r="B800" s="174"/>
      <c r="C800" s="172"/>
      <c r="D800" s="175"/>
      <c r="E800" s="175"/>
      <c r="F800" s="175"/>
      <c r="G800" s="175"/>
      <c r="H800" s="175"/>
      <c r="I800" s="175"/>
      <c r="J800" s="175"/>
      <c r="K800" s="175"/>
      <c r="L800" s="176"/>
    </row>
    <row r="801" spans="2:12" s="117" customFormat="1" ht="3.95" customHeight="1" x14ac:dyDescent="0.2">
      <c r="B801" s="124"/>
      <c r="C801" s="125"/>
      <c r="D801" s="126"/>
      <c r="E801" s="127"/>
      <c r="F801" s="127"/>
      <c r="G801" s="127"/>
      <c r="H801" s="127"/>
      <c r="I801" s="127"/>
      <c r="J801" s="127"/>
      <c r="K801" s="127"/>
      <c r="L801" s="127"/>
    </row>
    <row r="802" spans="2:12" ht="18" customHeight="1" x14ac:dyDescent="0.2">
      <c r="B802" s="128" t="s">
        <v>1343</v>
      </c>
      <c r="C802" s="25"/>
      <c r="D802" s="25"/>
      <c r="E802" s="25"/>
      <c r="F802" s="25"/>
      <c r="G802" s="25"/>
      <c r="H802" s="25"/>
      <c r="I802" s="25"/>
      <c r="J802" s="25"/>
      <c r="K802" s="25"/>
      <c r="L802" s="26"/>
    </row>
    <row r="803" spans="2:12" ht="18" customHeight="1" x14ac:dyDescent="0.2">
      <c r="B803" s="130"/>
      <c r="C803" s="72"/>
      <c r="D803" s="131"/>
      <c r="E803" s="131"/>
      <c r="F803" s="131"/>
      <c r="G803" s="131"/>
      <c r="H803" s="131"/>
      <c r="I803" s="131"/>
      <c r="J803" s="131"/>
      <c r="K803" s="131"/>
      <c r="L803" s="179"/>
    </row>
    <row r="804" spans="2:12" ht="18" customHeight="1" x14ac:dyDescent="0.2">
      <c r="B804" s="130"/>
      <c r="C804" s="72"/>
      <c r="D804" s="131"/>
      <c r="E804" s="131"/>
      <c r="F804" s="131"/>
      <c r="G804" s="131"/>
      <c r="H804" s="131"/>
      <c r="I804" s="131"/>
      <c r="J804" s="131"/>
      <c r="K804" s="131"/>
      <c r="L804" s="179"/>
    </row>
    <row r="805" spans="2:12" ht="18" customHeight="1" x14ac:dyDescent="0.2">
      <c r="B805" s="130"/>
      <c r="C805" s="72"/>
      <c r="D805" s="131"/>
      <c r="E805" s="131"/>
      <c r="F805" s="131"/>
      <c r="G805" s="131"/>
      <c r="H805" s="131"/>
      <c r="I805" s="131"/>
      <c r="J805" s="131"/>
      <c r="K805" s="131"/>
      <c r="L805" s="179"/>
    </row>
    <row r="806" spans="2:12" ht="18" customHeight="1" x14ac:dyDescent="0.2">
      <c r="B806" s="130"/>
      <c r="C806" s="72"/>
      <c r="D806" s="131"/>
      <c r="E806" s="131"/>
      <c r="F806" s="131"/>
      <c r="G806" s="131"/>
      <c r="H806" s="131"/>
      <c r="I806" s="131"/>
      <c r="J806" s="131"/>
      <c r="K806" s="131"/>
      <c r="L806" s="179"/>
    </row>
    <row r="807" spans="2:12" ht="18" customHeight="1" x14ac:dyDescent="0.2">
      <c r="B807" s="130"/>
      <c r="C807" s="72"/>
      <c r="D807" s="131"/>
      <c r="E807" s="131"/>
      <c r="F807" s="131"/>
      <c r="G807" s="131"/>
      <c r="H807" s="131"/>
      <c r="I807" s="131"/>
      <c r="J807" s="131"/>
      <c r="K807" s="131"/>
      <c r="L807" s="179"/>
    </row>
    <row r="808" spans="2:12" ht="18" customHeight="1" x14ac:dyDescent="0.2">
      <c r="B808" s="130"/>
      <c r="C808" s="72"/>
      <c r="D808" s="131"/>
      <c r="E808" s="131"/>
      <c r="F808" s="131"/>
      <c r="G808" s="131"/>
      <c r="H808" s="131"/>
      <c r="I808" s="131"/>
      <c r="J808" s="131"/>
      <c r="K808" s="131"/>
      <c r="L808" s="179"/>
    </row>
    <row r="809" spans="2:12" ht="18" customHeight="1" x14ac:dyDescent="0.2">
      <c r="B809" s="130"/>
      <c r="C809" s="72"/>
      <c r="D809" s="131"/>
      <c r="E809" s="131"/>
      <c r="F809" s="131"/>
      <c r="G809" s="131"/>
      <c r="H809" s="131"/>
      <c r="I809" s="131"/>
      <c r="J809" s="131"/>
      <c r="K809" s="131"/>
      <c r="L809" s="179"/>
    </row>
    <row r="810" spans="2:12" ht="18" customHeight="1" x14ac:dyDescent="0.2">
      <c r="B810" s="130"/>
      <c r="C810" s="72"/>
      <c r="D810" s="131"/>
      <c r="E810" s="131"/>
      <c r="F810" s="131"/>
      <c r="G810" s="131"/>
      <c r="H810" s="131"/>
      <c r="I810" s="131"/>
      <c r="J810" s="131"/>
      <c r="K810" s="131"/>
      <c r="L810" s="179"/>
    </row>
    <row r="811" spans="2:12" ht="18" customHeight="1" x14ac:dyDescent="0.2">
      <c r="B811" s="130"/>
      <c r="C811" s="72"/>
      <c r="D811" s="131"/>
      <c r="E811" s="131"/>
      <c r="F811" s="131"/>
      <c r="G811" s="131"/>
      <c r="H811" s="131"/>
      <c r="I811" s="131"/>
      <c r="J811" s="131"/>
      <c r="K811" s="131"/>
      <c r="L811" s="179"/>
    </row>
    <row r="812" spans="2:12" ht="18" customHeight="1" x14ac:dyDescent="0.2">
      <c r="B812" s="130"/>
      <c r="C812" s="72"/>
      <c r="D812" s="131"/>
      <c r="E812" s="131"/>
      <c r="F812" s="131"/>
      <c r="G812" s="131"/>
      <c r="H812" s="131"/>
      <c r="I812" s="131"/>
      <c r="J812" s="131"/>
      <c r="K812" s="131"/>
      <c r="L812" s="179"/>
    </row>
    <row r="813" spans="2:12" ht="18" customHeight="1" x14ac:dyDescent="0.2">
      <c r="B813" s="130"/>
      <c r="C813" s="72"/>
      <c r="D813" s="131"/>
      <c r="E813" s="131"/>
      <c r="F813" s="131"/>
      <c r="G813" s="131"/>
      <c r="H813" s="131"/>
      <c r="I813" s="131"/>
      <c r="J813" s="131"/>
      <c r="K813" s="131"/>
      <c r="L813" s="179"/>
    </row>
    <row r="814" spans="2:12" ht="18" customHeight="1" x14ac:dyDescent="0.2">
      <c r="B814" s="130"/>
      <c r="C814" s="72"/>
      <c r="D814" s="131"/>
      <c r="E814" s="131"/>
      <c r="F814" s="131"/>
      <c r="G814" s="131"/>
      <c r="H814" s="131"/>
      <c r="I814" s="131"/>
      <c r="J814" s="131"/>
      <c r="K814" s="131"/>
      <c r="L814" s="179"/>
    </row>
    <row r="815" spans="2:12" ht="18" customHeight="1" x14ac:dyDescent="0.2">
      <c r="B815" s="130"/>
      <c r="C815" s="72"/>
      <c r="D815" s="131"/>
      <c r="E815" s="131"/>
      <c r="F815" s="131"/>
      <c r="G815" s="131"/>
      <c r="H815" s="131"/>
      <c r="I815" s="131"/>
      <c r="J815" s="131"/>
      <c r="K815" s="131"/>
      <c r="L815" s="179"/>
    </row>
    <row r="816" spans="2:12" ht="18" customHeight="1" x14ac:dyDescent="0.2">
      <c r="B816" s="130"/>
      <c r="C816" s="72"/>
      <c r="D816" s="131"/>
      <c r="E816" s="131"/>
      <c r="F816" s="131"/>
      <c r="G816" s="131"/>
      <c r="H816" s="131"/>
      <c r="I816" s="131"/>
      <c r="J816" s="131"/>
      <c r="K816" s="131"/>
      <c r="L816" s="179"/>
    </row>
    <row r="817" spans="2:12" ht="18" customHeight="1" x14ac:dyDescent="0.2">
      <c r="B817" s="130"/>
      <c r="C817" s="72"/>
      <c r="D817" s="131"/>
      <c r="E817" s="131"/>
      <c r="F817" s="131"/>
      <c r="G817" s="131"/>
      <c r="H817" s="131"/>
      <c r="I817" s="131"/>
      <c r="J817" s="131"/>
      <c r="K817" s="131"/>
      <c r="L817" s="179"/>
    </row>
    <row r="818" spans="2:12" ht="18" customHeight="1" x14ac:dyDescent="0.2">
      <c r="B818" s="130"/>
      <c r="C818" s="72"/>
      <c r="D818" s="131"/>
      <c r="E818" s="131"/>
      <c r="F818" s="131"/>
      <c r="G818" s="131"/>
      <c r="H818" s="131"/>
      <c r="I818" s="131"/>
      <c r="J818" s="131"/>
      <c r="K818" s="131"/>
      <c r="L818" s="179"/>
    </row>
    <row r="819" spans="2:12" ht="18" customHeight="1" x14ac:dyDescent="0.2">
      <c r="B819" s="130"/>
      <c r="C819" s="72"/>
      <c r="D819" s="131"/>
      <c r="E819" s="131"/>
      <c r="F819" s="131"/>
      <c r="G819" s="131"/>
      <c r="H819" s="131"/>
      <c r="I819" s="131"/>
      <c r="J819" s="131"/>
      <c r="K819" s="131"/>
      <c r="L819" s="179"/>
    </row>
    <row r="820" spans="2:12" ht="18" customHeight="1" x14ac:dyDescent="0.2">
      <c r="B820" s="130"/>
      <c r="C820" s="72"/>
      <c r="D820" s="131"/>
      <c r="E820" s="131"/>
      <c r="F820" s="131"/>
      <c r="G820" s="131"/>
      <c r="H820" s="131"/>
      <c r="I820" s="131"/>
      <c r="J820" s="131"/>
      <c r="K820" s="131"/>
      <c r="L820" s="179"/>
    </row>
    <row r="821" spans="2:12" ht="18" customHeight="1" x14ac:dyDescent="0.2">
      <c r="B821" s="130"/>
      <c r="C821" s="72"/>
      <c r="D821" s="131"/>
      <c r="E821" s="131"/>
      <c r="F821" s="131"/>
      <c r="G821" s="131"/>
      <c r="H821" s="131"/>
      <c r="I821" s="131"/>
      <c r="J821" s="131"/>
      <c r="K821" s="131"/>
      <c r="L821" s="179"/>
    </row>
    <row r="822" spans="2:12" ht="18" customHeight="1" x14ac:dyDescent="0.2">
      <c r="B822" s="130"/>
      <c r="C822" s="72"/>
      <c r="D822" s="131"/>
      <c r="E822" s="131"/>
      <c r="F822" s="131"/>
      <c r="G822" s="131"/>
      <c r="H822" s="131"/>
      <c r="I822" s="131"/>
      <c r="J822" s="131"/>
      <c r="K822" s="131"/>
      <c r="L822" s="179"/>
    </row>
    <row r="823" spans="2:12" ht="18" customHeight="1" x14ac:dyDescent="0.2">
      <c r="B823" s="130"/>
      <c r="C823" s="72"/>
      <c r="D823" s="131"/>
      <c r="E823" s="131"/>
      <c r="F823" s="131"/>
      <c r="G823" s="131"/>
      <c r="H823" s="131"/>
      <c r="I823" s="131"/>
      <c r="J823" s="131"/>
      <c r="K823" s="131"/>
      <c r="L823" s="179"/>
    </row>
    <row r="824" spans="2:12" ht="18" customHeight="1" x14ac:dyDescent="0.2">
      <c r="B824" s="130"/>
      <c r="C824" s="72"/>
      <c r="D824" s="131"/>
      <c r="E824" s="131"/>
      <c r="F824" s="131"/>
      <c r="G824" s="131"/>
      <c r="H824" s="131"/>
      <c r="I824" s="131"/>
      <c r="J824" s="131"/>
      <c r="K824" s="131"/>
      <c r="L824" s="179"/>
    </row>
    <row r="825" spans="2:12" ht="18" customHeight="1" x14ac:dyDescent="0.2">
      <c r="B825" s="130"/>
      <c r="C825" s="72"/>
      <c r="D825" s="131"/>
      <c r="E825" s="131"/>
      <c r="F825" s="131"/>
      <c r="G825" s="131"/>
      <c r="H825" s="131"/>
      <c r="I825" s="131"/>
      <c r="J825" s="131"/>
      <c r="K825" s="131"/>
      <c r="L825" s="179"/>
    </row>
    <row r="826" spans="2:12" ht="18" customHeight="1" x14ac:dyDescent="0.2">
      <c r="B826" s="130"/>
      <c r="C826" s="72"/>
      <c r="D826" s="131"/>
      <c r="E826" s="131"/>
      <c r="F826" s="131"/>
      <c r="G826" s="131"/>
      <c r="H826" s="131"/>
      <c r="I826" s="131"/>
      <c r="J826" s="131"/>
      <c r="K826" s="131"/>
      <c r="L826" s="179"/>
    </row>
    <row r="827" spans="2:12" ht="18" customHeight="1" x14ac:dyDescent="0.2">
      <c r="B827" s="130"/>
      <c r="C827" s="72"/>
      <c r="D827" s="131"/>
      <c r="E827" s="131"/>
      <c r="F827" s="131"/>
      <c r="G827" s="131"/>
      <c r="H827" s="131"/>
      <c r="I827" s="131"/>
      <c r="J827" s="131"/>
      <c r="K827" s="131"/>
      <c r="L827" s="179"/>
    </row>
    <row r="828" spans="2:12" ht="18" customHeight="1" x14ac:dyDescent="0.2">
      <c r="B828" s="130"/>
      <c r="C828" s="72"/>
      <c r="D828" s="131"/>
      <c r="E828" s="131"/>
      <c r="F828" s="131"/>
      <c r="G828" s="131"/>
      <c r="H828" s="131"/>
      <c r="I828" s="131"/>
      <c r="J828" s="131"/>
      <c r="K828" s="131"/>
      <c r="L828" s="179"/>
    </row>
    <row r="829" spans="2:12" ht="18" customHeight="1" x14ac:dyDescent="0.2">
      <c r="B829" s="130"/>
      <c r="C829" s="72"/>
      <c r="D829" s="131"/>
      <c r="E829" s="131"/>
      <c r="F829" s="131"/>
      <c r="G829" s="131"/>
      <c r="H829" s="131"/>
      <c r="I829" s="131"/>
      <c r="J829" s="131"/>
      <c r="K829" s="131"/>
      <c r="L829" s="179"/>
    </row>
    <row r="830" spans="2:12" ht="18" customHeight="1" x14ac:dyDescent="0.2">
      <c r="B830" s="130"/>
      <c r="C830" s="72"/>
      <c r="D830" s="131"/>
      <c r="E830" s="131"/>
      <c r="F830" s="131"/>
      <c r="G830" s="131"/>
      <c r="H830" s="131"/>
      <c r="I830" s="131"/>
      <c r="J830" s="131"/>
      <c r="K830" s="131"/>
      <c r="L830" s="179"/>
    </row>
    <row r="831" spans="2:12" ht="18" customHeight="1" x14ac:dyDescent="0.2">
      <c r="B831" s="130"/>
      <c r="C831" s="72"/>
      <c r="D831" s="131"/>
      <c r="E831" s="131"/>
      <c r="F831" s="131"/>
      <c r="G831" s="131"/>
      <c r="H831" s="131"/>
      <c r="I831" s="131"/>
      <c r="J831" s="131"/>
      <c r="K831" s="131"/>
      <c r="L831" s="179"/>
    </row>
    <row r="832" spans="2:12" ht="18" customHeight="1" x14ac:dyDescent="0.2">
      <c r="B832" s="130"/>
      <c r="C832" s="72"/>
      <c r="D832" s="131"/>
      <c r="E832" s="131"/>
      <c r="F832" s="131"/>
      <c r="G832" s="131"/>
      <c r="H832" s="131"/>
      <c r="I832" s="131"/>
      <c r="J832" s="131"/>
      <c r="K832" s="131"/>
      <c r="L832" s="179"/>
    </row>
    <row r="833" spans="2:12" ht="18" customHeight="1" x14ac:dyDescent="0.2">
      <c r="B833" s="130"/>
      <c r="C833" s="72"/>
      <c r="D833" s="131"/>
      <c r="E833" s="131"/>
      <c r="F833" s="131"/>
      <c r="G833" s="131"/>
      <c r="H833" s="131"/>
      <c r="I833" s="131"/>
      <c r="J833" s="131"/>
      <c r="K833" s="131"/>
      <c r="L833" s="179"/>
    </row>
    <row r="834" spans="2:12" ht="18" customHeight="1" x14ac:dyDescent="0.2">
      <c r="B834" s="130"/>
      <c r="C834" s="72"/>
      <c r="D834" s="131"/>
      <c r="E834" s="131"/>
      <c r="F834" s="131"/>
      <c r="G834" s="131"/>
      <c r="H834" s="131"/>
      <c r="I834" s="131"/>
      <c r="J834" s="131"/>
      <c r="K834" s="131"/>
      <c r="L834" s="179"/>
    </row>
    <row r="835" spans="2:12" ht="18" customHeight="1" x14ac:dyDescent="0.2">
      <c r="B835" s="130"/>
      <c r="C835" s="72"/>
      <c r="D835" s="131"/>
      <c r="E835" s="131"/>
      <c r="F835" s="131"/>
      <c r="G835" s="131"/>
      <c r="H835" s="131"/>
      <c r="I835" s="131"/>
      <c r="J835" s="131"/>
      <c r="K835" s="131"/>
      <c r="L835" s="179"/>
    </row>
    <row r="836" spans="2:12" ht="18" customHeight="1" x14ac:dyDescent="0.2">
      <c r="B836" s="130"/>
      <c r="C836" s="72"/>
      <c r="D836" s="131"/>
      <c r="E836" s="131"/>
      <c r="F836" s="131"/>
      <c r="G836" s="131"/>
      <c r="H836" s="131"/>
      <c r="I836" s="131"/>
      <c r="J836" s="131"/>
      <c r="K836" s="131"/>
      <c r="L836" s="179"/>
    </row>
    <row r="837" spans="2:12" ht="18" customHeight="1" x14ac:dyDescent="0.2">
      <c r="B837" s="130"/>
      <c r="C837" s="72"/>
      <c r="D837" s="131"/>
      <c r="E837" s="131"/>
      <c r="F837" s="131"/>
      <c r="G837" s="131"/>
      <c r="H837" s="131"/>
      <c r="I837" s="131"/>
      <c r="J837" s="131"/>
      <c r="K837" s="131"/>
      <c r="L837" s="179"/>
    </row>
    <row r="838" spans="2:12" ht="18" customHeight="1" x14ac:dyDescent="0.2">
      <c r="B838" s="130"/>
      <c r="C838" s="72"/>
      <c r="D838" s="131"/>
      <c r="E838" s="131"/>
      <c r="F838" s="131"/>
      <c r="G838" s="131"/>
      <c r="H838" s="131"/>
      <c r="I838" s="131"/>
      <c r="J838" s="131"/>
      <c r="K838" s="131"/>
      <c r="L838" s="179"/>
    </row>
    <row r="839" spans="2:12" ht="18" customHeight="1" x14ac:dyDescent="0.2">
      <c r="B839" s="174"/>
      <c r="C839" s="172"/>
      <c r="D839" s="175"/>
      <c r="E839" s="175"/>
      <c r="F839" s="175"/>
      <c r="G839" s="175"/>
      <c r="H839" s="175"/>
      <c r="I839" s="175"/>
      <c r="J839" s="175"/>
      <c r="K839" s="175"/>
      <c r="L839" s="176"/>
    </row>
    <row r="840" spans="2:12" s="117" customFormat="1" ht="3.95" customHeight="1" x14ac:dyDescent="0.2">
      <c r="B840" s="124"/>
      <c r="C840" s="125"/>
      <c r="D840" s="126"/>
      <c r="E840" s="127"/>
      <c r="F840" s="127"/>
      <c r="G840" s="127"/>
      <c r="H840" s="127"/>
      <c r="I840" s="127"/>
      <c r="J840" s="127"/>
      <c r="K840" s="127"/>
      <c r="L840" s="127"/>
    </row>
    <row r="841" spans="2:12" ht="18" customHeight="1" x14ac:dyDescent="0.2">
      <c r="B841" s="128" t="s">
        <v>1267</v>
      </c>
      <c r="C841" s="25"/>
      <c r="D841" s="25"/>
      <c r="E841" s="25"/>
      <c r="F841" s="25"/>
      <c r="G841" s="25"/>
      <c r="H841" s="25"/>
      <c r="I841" s="25"/>
      <c r="J841" s="25"/>
      <c r="K841" s="25"/>
      <c r="L841" s="26"/>
    </row>
    <row r="842" spans="2:12" ht="27" customHeight="1" x14ac:dyDescent="0.2">
      <c r="B842" s="678" t="s">
        <v>1268</v>
      </c>
      <c r="C842" s="460"/>
      <c r="D842" s="460"/>
      <c r="E842" s="256" t="s">
        <v>226</v>
      </c>
      <c r="F842" s="256" t="s">
        <v>1269</v>
      </c>
      <c r="G842" s="256" t="s">
        <v>1270</v>
      </c>
      <c r="H842" s="256" t="s">
        <v>1271</v>
      </c>
      <c r="I842" s="256" t="s">
        <v>252</v>
      </c>
      <c r="J842" s="678" t="s">
        <v>1272</v>
      </c>
      <c r="K842" s="460"/>
      <c r="L842" s="679"/>
    </row>
    <row r="843" spans="2:12" ht="54.75" customHeight="1" x14ac:dyDescent="0.2">
      <c r="B843" s="520"/>
      <c r="C843" s="506"/>
      <c r="D843" s="494"/>
      <c r="E843" s="263"/>
      <c r="F843" s="264"/>
      <c r="G843" s="262"/>
      <c r="H843" s="252" t="str">
        <f t="shared" ref="H843:H849" si="2">IF(OR(ISBLANK(F843),ISBLANK(G843)),"",VLOOKUP(F843&amp;"_"&amp;G843,risk_score_table,2,FALSE))</f>
        <v/>
      </c>
      <c r="I843" s="264"/>
      <c r="J843" s="564"/>
      <c r="K843" s="506"/>
      <c r="L843" s="494"/>
    </row>
    <row r="844" spans="2:12" ht="54.75" customHeight="1" x14ac:dyDescent="0.2">
      <c r="B844" s="520"/>
      <c r="C844" s="506"/>
      <c r="D844" s="494"/>
      <c r="E844" s="263"/>
      <c r="F844" s="264"/>
      <c r="G844" s="262"/>
      <c r="H844" s="252" t="str">
        <f t="shared" si="2"/>
        <v/>
      </c>
      <c r="I844" s="264"/>
      <c r="J844" s="564"/>
      <c r="K844" s="506"/>
      <c r="L844" s="494"/>
    </row>
    <row r="845" spans="2:12" ht="54.75" customHeight="1" x14ac:dyDescent="0.2">
      <c r="B845" s="520"/>
      <c r="C845" s="506"/>
      <c r="D845" s="494"/>
      <c r="E845" s="263"/>
      <c r="F845" s="264"/>
      <c r="G845" s="262"/>
      <c r="H845" s="252" t="str">
        <f t="shared" si="2"/>
        <v/>
      </c>
      <c r="I845" s="264"/>
      <c r="J845" s="564"/>
      <c r="K845" s="506"/>
      <c r="L845" s="494"/>
    </row>
    <row r="846" spans="2:12" ht="54.75" customHeight="1" x14ac:dyDescent="0.2">
      <c r="B846" s="520"/>
      <c r="C846" s="506"/>
      <c r="D846" s="494"/>
      <c r="E846" s="263"/>
      <c r="F846" s="264"/>
      <c r="G846" s="262"/>
      <c r="H846" s="252" t="str">
        <f t="shared" si="2"/>
        <v/>
      </c>
      <c r="I846" s="264"/>
      <c r="J846" s="564"/>
      <c r="K846" s="506"/>
      <c r="L846" s="494"/>
    </row>
    <row r="847" spans="2:12" ht="54.75" customHeight="1" x14ac:dyDescent="0.2">
      <c r="B847" s="520"/>
      <c r="C847" s="506"/>
      <c r="D847" s="494"/>
      <c r="E847" s="263"/>
      <c r="F847" s="264"/>
      <c r="G847" s="262"/>
      <c r="H847" s="252" t="str">
        <f t="shared" si="2"/>
        <v/>
      </c>
      <c r="I847" s="264"/>
      <c r="J847" s="564"/>
      <c r="K847" s="506"/>
      <c r="L847" s="494"/>
    </row>
    <row r="848" spans="2:12" ht="54.75" customHeight="1" x14ac:dyDescent="0.2">
      <c r="B848" s="520"/>
      <c r="C848" s="506"/>
      <c r="D848" s="494"/>
      <c r="E848" s="263"/>
      <c r="F848" s="264"/>
      <c r="G848" s="262"/>
      <c r="H848" s="252" t="str">
        <f t="shared" si="2"/>
        <v/>
      </c>
      <c r="I848" s="264"/>
      <c r="J848" s="564"/>
      <c r="K848" s="506"/>
      <c r="L848" s="494"/>
    </row>
    <row r="849" spans="2:14" ht="54.75" customHeight="1" x14ac:dyDescent="0.2">
      <c r="B849" s="520"/>
      <c r="C849" s="506"/>
      <c r="D849" s="494"/>
      <c r="E849" s="263"/>
      <c r="F849" s="264"/>
      <c r="G849" s="262"/>
      <c r="H849" s="252" t="str">
        <f t="shared" si="2"/>
        <v/>
      </c>
      <c r="I849" s="264"/>
      <c r="J849" s="564"/>
      <c r="K849" s="506"/>
      <c r="L849" s="494"/>
    </row>
    <row r="850" spans="2:14" x14ac:dyDescent="0.2">
      <c r="B850" s="77" t="s">
        <v>1288</v>
      </c>
      <c r="C850" s="77"/>
    </row>
    <row r="851" spans="2:14" ht="18" customHeight="1" x14ac:dyDescent="0.2">
      <c r="B851" s="129" t="s">
        <v>1289</v>
      </c>
      <c r="C851" s="25"/>
      <c r="D851" s="25"/>
      <c r="E851" s="25"/>
      <c r="F851" s="25"/>
      <c r="G851" s="25"/>
      <c r="H851" s="25"/>
      <c r="I851" s="25"/>
      <c r="J851" s="25"/>
      <c r="K851" s="25"/>
      <c r="L851" s="26"/>
    </row>
    <row r="852" spans="2:14" ht="18" customHeight="1" x14ac:dyDescent="0.2">
      <c r="B852" s="488" t="s">
        <v>1290</v>
      </c>
      <c r="C852" s="579"/>
      <c r="D852" s="579"/>
      <c r="E852" s="579"/>
      <c r="F852" s="579"/>
      <c r="G852" s="579"/>
      <c r="H852" s="579"/>
      <c r="I852" s="579"/>
      <c r="J852" s="580"/>
      <c r="K852" s="520"/>
      <c r="L852" s="527"/>
      <c r="N852" s="119"/>
    </row>
    <row r="853" spans="2:14" ht="18" customHeight="1" x14ac:dyDescent="0.2">
      <c r="B853" s="488" t="s">
        <v>1291</v>
      </c>
      <c r="C853" s="579" t="s">
        <v>158</v>
      </c>
      <c r="D853" s="579" t="s">
        <v>158</v>
      </c>
      <c r="E853" s="579" t="s">
        <v>158</v>
      </c>
      <c r="F853" s="579" t="s">
        <v>158</v>
      </c>
      <c r="G853" s="579" t="s">
        <v>158</v>
      </c>
      <c r="H853" s="579" t="s">
        <v>158</v>
      </c>
      <c r="I853" s="579" t="s">
        <v>158</v>
      </c>
      <c r="J853" s="580" t="s">
        <v>158</v>
      </c>
      <c r="K853" s="520"/>
      <c r="L853" s="527"/>
    </row>
    <row r="854" spans="2:14" ht="18" customHeight="1" x14ac:dyDescent="0.2">
      <c r="B854" s="488" t="s">
        <v>1294</v>
      </c>
      <c r="C854" s="579" t="s">
        <v>159</v>
      </c>
      <c r="D854" s="579" t="s">
        <v>159</v>
      </c>
      <c r="E854" s="579" t="s">
        <v>159</v>
      </c>
      <c r="F854" s="579" t="s">
        <v>159</v>
      </c>
      <c r="G854" s="579" t="s">
        <v>159</v>
      </c>
      <c r="H854" s="579" t="s">
        <v>159</v>
      </c>
      <c r="I854" s="579" t="s">
        <v>159</v>
      </c>
      <c r="J854" s="580" t="s">
        <v>159</v>
      </c>
      <c r="K854" s="520"/>
      <c r="L854" s="527"/>
    </row>
    <row r="855" spans="2:14" ht="18" customHeight="1" x14ac:dyDescent="0.2">
      <c r="B855" s="488" t="s">
        <v>1292</v>
      </c>
      <c r="C855" s="579" t="s">
        <v>160</v>
      </c>
      <c r="D855" s="579" t="s">
        <v>160</v>
      </c>
      <c r="E855" s="579" t="s">
        <v>160</v>
      </c>
      <c r="F855" s="579" t="s">
        <v>160</v>
      </c>
      <c r="G855" s="579" t="s">
        <v>160</v>
      </c>
      <c r="H855" s="579" t="s">
        <v>160</v>
      </c>
      <c r="I855" s="579" t="s">
        <v>160</v>
      </c>
      <c r="J855" s="580" t="s">
        <v>160</v>
      </c>
      <c r="K855" s="520"/>
      <c r="L855" s="527"/>
    </row>
    <row r="856" spans="2:14" ht="18" customHeight="1" x14ac:dyDescent="0.2">
      <c r="B856" s="488" t="s">
        <v>1293</v>
      </c>
      <c r="C856" s="528"/>
      <c r="D856" s="528"/>
      <c r="E856" s="528"/>
      <c r="F856" s="528"/>
      <c r="G856" s="528"/>
      <c r="H856" s="528"/>
      <c r="I856" s="528"/>
      <c r="J856" s="529"/>
      <c r="K856" s="520"/>
      <c r="L856" s="527"/>
    </row>
    <row r="857" spans="2:14" ht="18" customHeight="1" x14ac:dyDescent="0.2">
      <c r="B857" s="130"/>
      <c r="C857" s="72"/>
      <c r="D857" s="131"/>
      <c r="E857" s="131"/>
      <c r="F857" s="131"/>
      <c r="G857" s="131"/>
      <c r="H857" s="131"/>
      <c r="I857" s="131"/>
      <c r="J857" s="131"/>
      <c r="K857" s="131"/>
      <c r="L857" s="179"/>
    </row>
    <row r="858" spans="2:14" ht="18" customHeight="1" x14ac:dyDescent="0.2">
      <c r="B858" s="130"/>
      <c r="C858" s="72"/>
      <c r="D858" s="131"/>
      <c r="E858" s="131"/>
      <c r="F858" s="131"/>
      <c r="G858" s="131"/>
      <c r="H858" s="131"/>
      <c r="I858" s="131"/>
      <c r="J858" s="131"/>
      <c r="K858" s="131"/>
      <c r="L858" s="179"/>
    </row>
    <row r="859" spans="2:14" ht="18" customHeight="1" x14ac:dyDescent="0.2">
      <c r="B859" s="130"/>
      <c r="C859" s="72"/>
      <c r="D859" s="131"/>
      <c r="E859" s="131"/>
      <c r="F859" s="131"/>
      <c r="G859" s="131"/>
      <c r="H859" s="131"/>
      <c r="I859" s="131"/>
      <c r="J859" s="131"/>
      <c r="K859" s="131"/>
      <c r="L859" s="179"/>
    </row>
    <row r="860" spans="2:14" ht="18" customHeight="1" x14ac:dyDescent="0.2">
      <c r="B860" s="130"/>
      <c r="C860" s="72"/>
      <c r="D860" s="131"/>
      <c r="E860" s="131"/>
      <c r="F860" s="131"/>
      <c r="G860" s="131"/>
      <c r="H860" s="131"/>
      <c r="I860" s="131"/>
      <c r="J860" s="131"/>
      <c r="K860" s="131"/>
      <c r="L860" s="179"/>
    </row>
    <row r="861" spans="2:14" ht="18" customHeight="1" x14ac:dyDescent="0.2">
      <c r="B861" s="130"/>
      <c r="C861" s="72"/>
      <c r="D861" s="131"/>
      <c r="E861" s="131"/>
      <c r="F861" s="131"/>
      <c r="G861" s="131"/>
      <c r="H861" s="131"/>
      <c r="I861" s="131"/>
      <c r="J861" s="131"/>
      <c r="K861" s="131"/>
      <c r="L861" s="179"/>
    </row>
    <row r="862" spans="2:14" ht="18" customHeight="1" x14ac:dyDescent="0.2">
      <c r="B862" s="130"/>
      <c r="C862" s="72"/>
      <c r="D862" s="131"/>
      <c r="E862" s="131"/>
      <c r="F862" s="131"/>
      <c r="G862" s="131"/>
      <c r="H862" s="131"/>
      <c r="I862" s="131"/>
      <c r="J862" s="131"/>
      <c r="K862" s="131"/>
      <c r="L862" s="179"/>
    </row>
    <row r="863" spans="2:14" ht="18" customHeight="1" x14ac:dyDescent="0.2">
      <c r="B863" s="130"/>
      <c r="C863" s="72"/>
      <c r="D863" s="131"/>
      <c r="E863" s="131"/>
      <c r="F863" s="131"/>
      <c r="G863" s="131"/>
      <c r="H863" s="131"/>
      <c r="I863" s="131"/>
      <c r="J863" s="131"/>
      <c r="K863" s="131"/>
      <c r="L863" s="179"/>
    </row>
    <row r="864" spans="2:14" ht="18" customHeight="1" x14ac:dyDescent="0.2">
      <c r="B864" s="130"/>
      <c r="C864" s="72"/>
      <c r="D864" s="131"/>
      <c r="E864" s="131"/>
      <c r="F864" s="131"/>
      <c r="G864" s="131"/>
      <c r="H864" s="131"/>
      <c r="I864" s="131"/>
      <c r="J864" s="131"/>
      <c r="K864" s="131"/>
      <c r="L864" s="179"/>
    </row>
    <row r="865" spans="2:12" ht="18" customHeight="1" x14ac:dyDescent="0.2">
      <c r="B865" s="130"/>
      <c r="C865" s="72"/>
      <c r="D865" s="131"/>
      <c r="E865" s="131"/>
      <c r="F865" s="131"/>
      <c r="G865" s="131"/>
      <c r="H865" s="131"/>
      <c r="I865" s="131"/>
      <c r="J865" s="131"/>
      <c r="K865" s="131"/>
      <c r="L865" s="179"/>
    </row>
    <row r="866" spans="2:12" ht="18" customHeight="1" x14ac:dyDescent="0.2">
      <c r="B866" s="130"/>
      <c r="C866" s="72"/>
      <c r="D866" s="131"/>
      <c r="E866" s="131"/>
      <c r="F866" s="131"/>
      <c r="G866" s="131"/>
      <c r="H866" s="131"/>
      <c r="I866" s="131"/>
      <c r="J866" s="131"/>
      <c r="K866" s="131"/>
      <c r="L866" s="179"/>
    </row>
    <row r="867" spans="2:12" ht="18" customHeight="1" x14ac:dyDescent="0.2">
      <c r="B867" s="174"/>
      <c r="C867" s="172"/>
      <c r="D867" s="175"/>
      <c r="E867" s="175"/>
      <c r="F867" s="175"/>
      <c r="G867" s="175"/>
      <c r="H867" s="175"/>
      <c r="I867" s="175"/>
      <c r="J867" s="175"/>
      <c r="K867" s="175"/>
      <c r="L867" s="176"/>
    </row>
    <row r="868" spans="2:12" s="78" customFormat="1" ht="3.75" customHeight="1" x14ac:dyDescent="0.2"/>
    <row r="869" spans="2:12" s="78" customFormat="1" ht="5.25" customHeight="1" x14ac:dyDescent="0.2"/>
    <row r="870" spans="2:12" s="78" customFormat="1" ht="18" customHeight="1" x14ac:dyDescent="0.2">
      <c r="B870" s="132" t="s">
        <v>1295</v>
      </c>
      <c r="C870" s="111"/>
      <c r="D870" s="111"/>
      <c r="E870" s="111"/>
      <c r="F870" s="111"/>
      <c r="G870" s="111"/>
      <c r="H870" s="111"/>
      <c r="I870" s="111"/>
      <c r="J870" s="111"/>
      <c r="K870" s="111"/>
      <c r="L870" s="133"/>
    </row>
    <row r="871" spans="2:12" s="78" customFormat="1" ht="18" customHeight="1" x14ac:dyDescent="0.2">
      <c r="B871" s="240" t="s">
        <v>1296</v>
      </c>
      <c r="C871" s="25"/>
      <c r="D871" s="25"/>
      <c r="E871" s="25"/>
      <c r="F871" s="25"/>
      <c r="G871" s="25"/>
      <c r="H871" s="25"/>
      <c r="I871" s="25"/>
      <c r="J871" s="25"/>
      <c r="K871" s="25"/>
      <c r="L871" s="26"/>
    </row>
    <row r="872" spans="2:12" s="78" customFormat="1" ht="18" customHeight="1" x14ac:dyDescent="0.2">
      <c r="B872" s="102"/>
      <c r="C872" s="97"/>
      <c r="D872" s="97"/>
      <c r="E872" s="97"/>
      <c r="F872" s="97"/>
      <c r="G872" s="97"/>
      <c r="H872" s="97"/>
      <c r="I872" s="97"/>
      <c r="J872" s="97"/>
      <c r="K872" s="97"/>
      <c r="L872" s="101"/>
    </row>
    <row r="873" spans="2:12" s="78" customFormat="1" ht="27.75" customHeight="1" x14ac:dyDescent="0.2">
      <c r="B873" s="1"/>
      <c r="C873" s="4"/>
      <c r="D873" s="4"/>
      <c r="E873" s="4"/>
      <c r="F873" s="4"/>
      <c r="G873" s="4"/>
      <c r="H873" s="4"/>
      <c r="I873" s="453" t="s">
        <v>1297</v>
      </c>
      <c r="J873" s="680"/>
      <c r="K873" s="681"/>
      <c r="L873" s="6"/>
    </row>
    <row r="874" spans="2:12" s="78" customFormat="1" ht="6.75" customHeight="1" x14ac:dyDescent="0.2">
      <c r="B874" s="102"/>
      <c r="C874" s="97"/>
      <c r="D874" s="97"/>
      <c r="E874" s="97"/>
      <c r="F874" s="97"/>
      <c r="G874" s="97"/>
      <c r="H874" s="97"/>
      <c r="I874" s="97"/>
      <c r="J874" s="97"/>
      <c r="K874" s="97"/>
      <c r="L874" s="101"/>
    </row>
    <row r="875" spans="2:12" s="78" customFormat="1" ht="27.75" customHeight="1" x14ac:dyDescent="0.2">
      <c r="B875" s="1"/>
      <c r="C875" s="4"/>
      <c r="D875" s="4"/>
      <c r="E875" s="4"/>
      <c r="F875" s="4"/>
      <c r="G875" s="4"/>
      <c r="H875" s="4"/>
      <c r="I875" s="453" t="s">
        <v>1298</v>
      </c>
      <c r="J875" s="673" t="str">
        <f>IF(investments_included="Áno","5 rokov","3 roky")</f>
        <v>3 roky</v>
      </c>
      <c r="K875" s="674"/>
      <c r="L875" s="6"/>
    </row>
    <row r="876" spans="2:12" s="78" customFormat="1" ht="18" customHeight="1" x14ac:dyDescent="0.2">
      <c r="B876" s="1"/>
      <c r="C876" s="4"/>
      <c r="D876" s="4"/>
      <c r="E876" s="4"/>
      <c r="F876" s="4"/>
      <c r="G876" s="4"/>
      <c r="H876" s="4"/>
      <c r="I876" s="4"/>
      <c r="J876" s="4"/>
      <c r="K876" s="4"/>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257" t="s">
        <v>1299</v>
      </c>
      <c r="C878" s="4"/>
      <c r="D878" s="4"/>
      <c r="E878" s="4"/>
      <c r="F878" s="4"/>
      <c r="G878" s="4"/>
      <c r="H878" s="4"/>
      <c r="I878" s="4"/>
      <c r="J878" s="4"/>
      <c r="K878" s="4"/>
      <c r="L878" s="6"/>
    </row>
    <row r="879" spans="2:12" s="78" customFormat="1" ht="18" customHeight="1" x14ac:dyDescent="0.2">
      <c r="B879" s="596" t="s">
        <v>1300</v>
      </c>
      <c r="C879" s="597"/>
      <c r="D879" s="597"/>
      <c r="E879" s="598"/>
      <c r="F879" s="670" t="s">
        <v>1301</v>
      </c>
      <c r="G879" s="671"/>
      <c r="H879" s="671"/>
      <c r="I879" s="671"/>
      <c r="J879" s="672"/>
      <c r="K879" s="592" t="s">
        <v>1302</v>
      </c>
      <c r="L879" s="593"/>
    </row>
    <row r="880" spans="2:12" s="78" customFormat="1" ht="18" customHeight="1" x14ac:dyDescent="0.2">
      <c r="B880" s="599"/>
      <c r="C880" s="600"/>
      <c r="D880" s="600"/>
      <c r="E880" s="601"/>
      <c r="F880" s="135" t="s">
        <v>19</v>
      </c>
      <c r="G880" s="135" t="s">
        <v>20</v>
      </c>
      <c r="H880" s="135" t="s">
        <v>21</v>
      </c>
      <c r="I880" s="135" t="s">
        <v>22</v>
      </c>
      <c r="J880" s="135" t="s">
        <v>23</v>
      </c>
      <c r="K880" s="594"/>
      <c r="L880" s="595"/>
    </row>
    <row r="881" spans="2:12" s="78" customFormat="1" ht="18" customHeight="1" x14ac:dyDescent="0.2">
      <c r="B881" s="659" t="s">
        <v>1304</v>
      </c>
      <c r="C881" s="660"/>
      <c r="D881" s="660"/>
      <c r="E881" s="661"/>
      <c r="F881" s="262"/>
      <c r="G881" s="262"/>
      <c r="H881" s="262"/>
      <c r="I881" s="262"/>
      <c r="J881" s="262"/>
      <c r="K881" s="662">
        <f t="shared" ref="K881:K889" si="3">SUM(E881:J881)</f>
        <v>0</v>
      </c>
      <c r="L881" s="663"/>
    </row>
    <row r="882" spans="2:12" s="78" customFormat="1" ht="18" customHeight="1" x14ac:dyDescent="0.2">
      <c r="B882" s="659" t="s">
        <v>1305</v>
      </c>
      <c r="C882" s="660"/>
      <c r="D882" s="660"/>
      <c r="E882" s="661"/>
      <c r="F882" s="262"/>
      <c r="G882" s="262"/>
      <c r="H882" s="262"/>
      <c r="I882" s="262"/>
      <c r="J882" s="262"/>
      <c r="K882" s="662">
        <f t="shared" si="3"/>
        <v>0</v>
      </c>
      <c r="L882" s="663"/>
    </row>
    <row r="883" spans="2:12" s="78" customFormat="1" ht="18" customHeight="1" x14ac:dyDescent="0.2">
      <c r="B883" s="659" t="s">
        <v>1306</v>
      </c>
      <c r="C883" s="660"/>
      <c r="D883" s="660"/>
      <c r="E883" s="661"/>
      <c r="F883" s="262"/>
      <c r="G883" s="262"/>
      <c r="H883" s="262"/>
      <c r="I883" s="262"/>
      <c r="J883" s="262"/>
      <c r="K883" s="662">
        <f t="shared" si="3"/>
        <v>0</v>
      </c>
      <c r="L883" s="663"/>
    </row>
    <row r="884" spans="2:12" s="78" customFormat="1" ht="18" customHeight="1" x14ac:dyDescent="0.2">
      <c r="B884" s="495" t="s">
        <v>1220</v>
      </c>
      <c r="C884" s="496"/>
      <c r="D884" s="496"/>
      <c r="E884" s="497"/>
      <c r="F884" s="262"/>
      <c r="G884" s="262"/>
      <c r="H884" s="262"/>
      <c r="I884" s="262"/>
      <c r="J884" s="262"/>
      <c r="K884" s="662">
        <f t="shared" si="3"/>
        <v>0</v>
      </c>
      <c r="L884" s="663"/>
    </row>
    <row r="885" spans="2:12" s="78" customFormat="1" ht="18" customHeight="1" x14ac:dyDescent="0.2">
      <c r="B885" s="495" t="s">
        <v>1220</v>
      </c>
      <c r="C885" s="496"/>
      <c r="D885" s="496"/>
      <c r="E885" s="497"/>
      <c r="F885" s="262"/>
      <c r="G885" s="262"/>
      <c r="H885" s="262"/>
      <c r="I885" s="262"/>
      <c r="J885" s="262"/>
      <c r="K885" s="662">
        <f t="shared" si="3"/>
        <v>0</v>
      </c>
      <c r="L885" s="663"/>
    </row>
    <row r="886" spans="2:12" s="78" customFormat="1" ht="18" customHeight="1" x14ac:dyDescent="0.2">
      <c r="B886" s="495" t="s">
        <v>1220</v>
      </c>
      <c r="C886" s="496"/>
      <c r="D886" s="496"/>
      <c r="E886" s="497"/>
      <c r="F886" s="262"/>
      <c r="G886" s="262"/>
      <c r="H886" s="262"/>
      <c r="I886" s="262"/>
      <c r="J886" s="262"/>
      <c r="K886" s="662">
        <f t="shared" si="3"/>
        <v>0</v>
      </c>
      <c r="L886" s="663"/>
    </row>
    <row r="887" spans="2:12" s="78" customFormat="1" ht="18" customHeight="1" x14ac:dyDescent="0.2">
      <c r="B887" s="495" t="s">
        <v>1220</v>
      </c>
      <c r="C887" s="496"/>
      <c r="D887" s="496"/>
      <c r="E887" s="497"/>
      <c r="F887" s="262"/>
      <c r="G887" s="262"/>
      <c r="H887" s="262"/>
      <c r="I887" s="262"/>
      <c r="J887" s="262"/>
      <c r="K887" s="662">
        <f t="shared" si="3"/>
        <v>0</v>
      </c>
      <c r="L887" s="663"/>
    </row>
    <row r="888" spans="2:12" s="78" customFormat="1" ht="18" customHeight="1" x14ac:dyDescent="0.2">
      <c r="B888" s="495" t="s">
        <v>1220</v>
      </c>
      <c r="C888" s="496"/>
      <c r="D888" s="496"/>
      <c r="E888" s="497"/>
      <c r="F888" s="262"/>
      <c r="G888" s="262"/>
      <c r="H888" s="262"/>
      <c r="I888" s="262"/>
      <c r="J888" s="262"/>
      <c r="K888" s="662">
        <f t="shared" si="3"/>
        <v>0</v>
      </c>
      <c r="L888" s="663"/>
    </row>
    <row r="889" spans="2:12" s="78" customFormat="1" ht="18" customHeight="1" x14ac:dyDescent="0.2">
      <c r="B889" s="659" t="s">
        <v>1302</v>
      </c>
      <c r="C889" s="660"/>
      <c r="D889" s="660"/>
      <c r="E889" s="661"/>
      <c r="F889" s="91">
        <f>SUM(F881:F888)</f>
        <v>0</v>
      </c>
      <c r="G889" s="91">
        <f>SUM(G881:G888)</f>
        <v>0</v>
      </c>
      <c r="H889" s="91">
        <f>SUM(H881:H888)</f>
        <v>0</v>
      </c>
      <c r="I889" s="91">
        <f>SUM(I881:I888)</f>
        <v>0</v>
      </c>
      <c r="J889" s="91">
        <f>SUM(J881:J888)</f>
        <v>0</v>
      </c>
      <c r="K889" s="662">
        <f t="shared" si="3"/>
        <v>0</v>
      </c>
      <c r="L889" s="663"/>
    </row>
    <row r="890" spans="2:12" s="78" customFormat="1" ht="18" customHeight="1" x14ac:dyDescent="0.2">
      <c r="B890" s="596" t="s">
        <v>1303</v>
      </c>
      <c r="C890" s="597"/>
      <c r="D890" s="597"/>
      <c r="E890" s="598"/>
      <c r="F890" s="670" t="s">
        <v>1301</v>
      </c>
      <c r="G890" s="671"/>
      <c r="H890" s="671"/>
      <c r="I890" s="671"/>
      <c r="J890" s="672"/>
      <c r="K890" s="592" t="s">
        <v>1302</v>
      </c>
      <c r="L890" s="593"/>
    </row>
    <row r="891" spans="2:12" s="78" customFormat="1" ht="18" customHeight="1" x14ac:dyDescent="0.2">
      <c r="B891" s="599"/>
      <c r="C891" s="600"/>
      <c r="D891" s="600"/>
      <c r="E891" s="601"/>
      <c r="F891" s="135" t="s">
        <v>19</v>
      </c>
      <c r="G891" s="135" t="s">
        <v>20</v>
      </c>
      <c r="H891" s="135" t="s">
        <v>21</v>
      </c>
      <c r="I891" s="135" t="s">
        <v>22</v>
      </c>
      <c r="J891" s="135" t="s">
        <v>23</v>
      </c>
      <c r="K891" s="594"/>
      <c r="L891" s="595"/>
    </row>
    <row r="892" spans="2:12" s="78" customFormat="1" ht="18" customHeight="1" x14ac:dyDescent="0.2">
      <c r="B892" s="659" t="s">
        <v>1307</v>
      </c>
      <c r="C892" s="660"/>
      <c r="D892" s="660"/>
      <c r="E892" s="661"/>
      <c r="F892" s="262"/>
      <c r="G892" s="262"/>
      <c r="H892" s="262"/>
      <c r="I892" s="262"/>
      <c r="J892" s="262"/>
      <c r="K892" s="662">
        <f>SUM(E892:J892)</f>
        <v>0</v>
      </c>
      <c r="L892" s="663"/>
    </row>
    <row r="893" spans="2:12" s="78" customFormat="1" ht="18" customHeight="1" x14ac:dyDescent="0.2">
      <c r="B893" s="659" t="s">
        <v>1308</v>
      </c>
      <c r="C893" s="660"/>
      <c r="D893" s="660"/>
      <c r="E893" s="661"/>
      <c r="F893" s="262"/>
      <c r="G893" s="262"/>
      <c r="H893" s="262"/>
      <c r="I893" s="262"/>
      <c r="J893" s="262"/>
      <c r="K893" s="662">
        <f t="shared" ref="K893:K900" si="4">SUM(E893:J893)</f>
        <v>0</v>
      </c>
      <c r="L893" s="663"/>
    </row>
    <row r="894" spans="2:12" s="78" customFormat="1" ht="18" customHeight="1" x14ac:dyDescent="0.2">
      <c r="B894" s="659" t="s">
        <v>1309</v>
      </c>
      <c r="C894" s="660"/>
      <c r="D894" s="660"/>
      <c r="E894" s="661"/>
      <c r="F894" s="262"/>
      <c r="G894" s="262"/>
      <c r="H894" s="262"/>
      <c r="I894" s="262"/>
      <c r="J894" s="262"/>
      <c r="K894" s="662">
        <f t="shared" si="4"/>
        <v>0</v>
      </c>
      <c r="L894" s="663"/>
    </row>
    <row r="895" spans="2:12" s="78" customFormat="1" ht="18" customHeight="1" x14ac:dyDescent="0.2">
      <c r="B895" s="659" t="s">
        <v>1310</v>
      </c>
      <c r="C895" s="660"/>
      <c r="D895" s="660"/>
      <c r="E895" s="661"/>
      <c r="F895" s="262"/>
      <c r="G895" s="262"/>
      <c r="H895" s="262"/>
      <c r="I895" s="262"/>
      <c r="J895" s="262"/>
      <c r="K895" s="662">
        <f t="shared" si="4"/>
        <v>0</v>
      </c>
      <c r="L895" s="663"/>
    </row>
    <row r="896" spans="2:12" s="78" customFormat="1" ht="18" customHeight="1" x14ac:dyDescent="0.2">
      <c r="B896" s="495" t="s">
        <v>1220</v>
      </c>
      <c r="C896" s="496"/>
      <c r="D896" s="496"/>
      <c r="E896" s="497"/>
      <c r="F896" s="262"/>
      <c r="G896" s="262"/>
      <c r="H896" s="262"/>
      <c r="I896" s="262"/>
      <c r="J896" s="262"/>
      <c r="K896" s="662">
        <f t="shared" si="4"/>
        <v>0</v>
      </c>
      <c r="L896" s="663"/>
    </row>
    <row r="897" spans="2:12" s="78" customFormat="1" ht="18" customHeight="1" x14ac:dyDescent="0.2">
      <c r="B897" s="495" t="s">
        <v>1220</v>
      </c>
      <c r="C897" s="496"/>
      <c r="D897" s="496"/>
      <c r="E897" s="497"/>
      <c r="F897" s="262"/>
      <c r="G897" s="262"/>
      <c r="H897" s="262"/>
      <c r="I897" s="262"/>
      <c r="J897" s="262"/>
      <c r="K897" s="662">
        <f t="shared" si="4"/>
        <v>0</v>
      </c>
      <c r="L897" s="663"/>
    </row>
    <row r="898" spans="2:12" s="78" customFormat="1" ht="18" customHeight="1" x14ac:dyDescent="0.2">
      <c r="B898" s="495" t="s">
        <v>1220</v>
      </c>
      <c r="C898" s="496"/>
      <c r="D898" s="496"/>
      <c r="E898" s="497"/>
      <c r="F898" s="262"/>
      <c r="G898" s="262"/>
      <c r="H898" s="262"/>
      <c r="I898" s="262"/>
      <c r="J898" s="262"/>
      <c r="K898" s="662">
        <f t="shared" si="4"/>
        <v>0</v>
      </c>
      <c r="L898" s="663"/>
    </row>
    <row r="899" spans="2:12" s="78" customFormat="1" ht="18" customHeight="1" x14ac:dyDescent="0.2">
      <c r="B899" s="495" t="s">
        <v>1220</v>
      </c>
      <c r="C899" s="496"/>
      <c r="D899" s="496"/>
      <c r="E899" s="497"/>
      <c r="F899" s="262"/>
      <c r="G899" s="262"/>
      <c r="H899" s="262"/>
      <c r="I899" s="262"/>
      <c r="J899" s="262"/>
      <c r="K899" s="662">
        <f t="shared" si="4"/>
        <v>0</v>
      </c>
      <c r="L899" s="663"/>
    </row>
    <row r="900" spans="2:12" s="78" customFormat="1" ht="18" customHeight="1" x14ac:dyDescent="0.2">
      <c r="B900" s="659" t="s">
        <v>1302</v>
      </c>
      <c r="C900" s="660"/>
      <c r="D900" s="660"/>
      <c r="E900" s="661"/>
      <c r="F900" s="91">
        <f>SUM(F892:F899)</f>
        <v>0</v>
      </c>
      <c r="G900" s="91">
        <f>SUM(G892:G899)</f>
        <v>0</v>
      </c>
      <c r="H900" s="91">
        <f>SUM(H892:H899)</f>
        <v>0</v>
      </c>
      <c r="I900" s="91">
        <f>SUM(I892:I899)</f>
        <v>0</v>
      </c>
      <c r="J900" s="91">
        <f>SUM(J892:J899)</f>
        <v>0</v>
      </c>
      <c r="K900" s="662">
        <f t="shared" si="4"/>
        <v>0</v>
      </c>
      <c r="L900" s="663"/>
    </row>
    <row r="901" spans="2:12" s="78" customFormat="1" ht="18" customHeight="1" x14ac:dyDescent="0.2">
      <c r="B901" s="92"/>
      <c r="C901" s="93"/>
      <c r="D901" s="93"/>
      <c r="E901" s="136"/>
      <c r="F901" s="136"/>
      <c r="G901" s="136"/>
      <c r="H901" s="136"/>
      <c r="I901" s="136"/>
      <c r="J901" s="136"/>
      <c r="K901" s="136"/>
      <c r="L901" s="137"/>
    </row>
    <row r="902" spans="2:12" s="78" customFormat="1" ht="18" customHeight="1" x14ac:dyDescent="0.2">
      <c r="B902" s="240" t="s">
        <v>1311</v>
      </c>
      <c r="C902" s="25"/>
      <c r="D902" s="25"/>
      <c r="E902" s="25"/>
      <c r="F902" s="25"/>
      <c r="G902" s="25"/>
      <c r="H902" s="25"/>
      <c r="I902" s="25"/>
      <c r="J902" s="25"/>
      <c r="K902" s="25"/>
      <c r="L902" s="26"/>
    </row>
    <row r="903" spans="2:12" s="78" customFormat="1" ht="18" customHeight="1" x14ac:dyDescent="0.2">
      <c r="B903" s="92"/>
      <c r="C903" s="93"/>
      <c r="D903" s="93"/>
      <c r="E903" s="93"/>
      <c r="F903" s="93"/>
      <c r="G903" s="93"/>
      <c r="H903" s="93"/>
      <c r="I903" s="93"/>
      <c r="J903" s="93"/>
      <c r="K903" s="93"/>
      <c r="L903" s="173"/>
    </row>
    <row r="904" spans="2:12" s="78" customFormat="1" ht="18" customHeight="1" x14ac:dyDescent="0.2">
      <c r="B904" s="130"/>
      <c r="C904" s="131"/>
      <c r="D904" s="131"/>
      <c r="E904" s="131"/>
      <c r="F904" s="131"/>
      <c r="G904" s="131"/>
      <c r="H904" s="131"/>
      <c r="I904" s="131"/>
      <c r="J904" s="131"/>
      <c r="K904" s="131"/>
      <c r="L904" s="179"/>
    </row>
    <row r="905" spans="2:12" s="78" customFormat="1" ht="18" customHeight="1" x14ac:dyDescent="0.2">
      <c r="B905" s="130"/>
      <c r="C905" s="131"/>
      <c r="D905" s="131"/>
      <c r="E905" s="131"/>
      <c r="F905" s="131"/>
      <c r="G905" s="131"/>
      <c r="H905" s="131"/>
      <c r="I905" s="131"/>
      <c r="J905" s="131"/>
      <c r="K905" s="131"/>
      <c r="L905" s="179"/>
    </row>
    <row r="906" spans="2:12" s="78" customFormat="1" ht="18" customHeight="1" x14ac:dyDescent="0.2">
      <c r="B906" s="130"/>
      <c r="C906" s="131"/>
      <c r="D906" s="131"/>
      <c r="E906" s="131"/>
      <c r="F906" s="131"/>
      <c r="G906" s="131"/>
      <c r="H906" s="131"/>
      <c r="I906" s="131"/>
      <c r="J906" s="131"/>
      <c r="K906" s="131"/>
      <c r="L906" s="179"/>
    </row>
    <row r="907" spans="2:12" s="78" customFormat="1" ht="18" customHeight="1" x14ac:dyDescent="0.2">
      <c r="B907" s="130"/>
      <c r="C907" s="131"/>
      <c r="D907" s="131"/>
      <c r="E907" s="131"/>
      <c r="F907" s="131"/>
      <c r="G907" s="131"/>
      <c r="H907" s="131"/>
      <c r="I907" s="131"/>
      <c r="J907" s="131"/>
      <c r="K907" s="131"/>
      <c r="L907" s="179"/>
    </row>
    <row r="908" spans="2:12" s="78" customFormat="1" ht="18" customHeight="1" x14ac:dyDescent="0.2">
      <c r="B908" s="130"/>
      <c r="C908" s="131"/>
      <c r="D908" s="131"/>
      <c r="E908" s="131"/>
      <c r="F908" s="131"/>
      <c r="G908" s="131"/>
      <c r="H908" s="131"/>
      <c r="I908" s="131"/>
      <c r="J908" s="131"/>
      <c r="K908" s="131"/>
      <c r="L908" s="179"/>
    </row>
    <row r="909" spans="2:12" s="78" customFormat="1" ht="18" customHeight="1" x14ac:dyDescent="0.2">
      <c r="B909" s="174"/>
      <c r="C909" s="175"/>
      <c r="D909" s="175"/>
      <c r="E909" s="175"/>
      <c r="F909" s="175"/>
      <c r="G909" s="175"/>
      <c r="H909" s="175"/>
      <c r="I909" s="175"/>
      <c r="J909" s="175"/>
      <c r="K909" s="175"/>
      <c r="L909" s="176"/>
    </row>
    <row r="910" spans="2:12" s="78" customFormat="1" ht="3.75" customHeight="1" x14ac:dyDescent="0.2"/>
    <row r="911" spans="2:12" s="4" customFormat="1" ht="18" customHeight="1" x14ac:dyDescent="0.2">
      <c r="B911" s="138" t="s">
        <v>1312</v>
      </c>
      <c r="C911" s="109"/>
      <c r="D911" s="109"/>
      <c r="E911" s="109"/>
      <c r="F911" s="109"/>
      <c r="G911" s="109"/>
      <c r="H911" s="109"/>
      <c r="I911" s="109"/>
      <c r="J911" s="109"/>
      <c r="K911" s="109"/>
      <c r="L911" s="110"/>
    </row>
    <row r="912" spans="2:12" ht="28.5" customHeight="1" x14ac:dyDescent="0.2">
      <c r="B912" s="486" t="s">
        <v>1313</v>
      </c>
      <c r="C912" s="667"/>
      <c r="D912" s="667"/>
      <c r="E912" s="667"/>
      <c r="F912" s="667"/>
      <c r="G912" s="667"/>
      <c r="H912" s="667"/>
      <c r="I912" s="667"/>
      <c r="J912" s="667"/>
      <c r="K912" s="667"/>
      <c r="L912" s="668"/>
    </row>
    <row r="913" spans="2:13" ht="28.5" customHeight="1" x14ac:dyDescent="0.2">
      <c r="B913" s="139" t="s">
        <v>80</v>
      </c>
      <c r="C913" s="589" t="s">
        <v>1314</v>
      </c>
      <c r="D913" s="590"/>
      <c r="E913" s="590"/>
      <c r="F913" s="590"/>
      <c r="G913" s="590"/>
      <c r="H913" s="590"/>
      <c r="I913" s="590"/>
      <c r="J913" s="591"/>
      <c r="K913" s="140" t="s">
        <v>1315</v>
      </c>
      <c r="L913" s="140" t="s">
        <v>1316</v>
      </c>
    </row>
    <row r="914" spans="2:13" ht="36" customHeight="1" x14ac:dyDescent="0.2">
      <c r="B914" s="134">
        <v>1</v>
      </c>
      <c r="C914" s="669" t="s">
        <v>1317</v>
      </c>
      <c r="D914" s="587"/>
      <c r="E914" s="587"/>
      <c r="F914" s="587"/>
      <c r="G914" s="587"/>
      <c r="H914" s="587"/>
      <c r="I914" s="587"/>
      <c r="J914" s="588"/>
      <c r="K914" s="141" t="s">
        <v>723</v>
      </c>
      <c r="L914" s="261"/>
      <c r="M914" s="258"/>
    </row>
    <row r="915" spans="2:13" ht="36" customHeight="1" x14ac:dyDescent="0.2">
      <c r="B915" s="134">
        <v>2</v>
      </c>
      <c r="C915" s="586"/>
      <c r="D915" s="587"/>
      <c r="E915" s="587"/>
      <c r="F915" s="587"/>
      <c r="G915" s="587"/>
      <c r="H915" s="587"/>
      <c r="I915" s="587"/>
      <c r="J915" s="588"/>
      <c r="K915" s="141"/>
      <c r="L915" s="261"/>
      <c r="M915" s="258"/>
    </row>
    <row r="916" spans="2:13" ht="36" customHeight="1" x14ac:dyDescent="0.2">
      <c r="B916" s="134">
        <v>3</v>
      </c>
      <c r="C916" s="586"/>
      <c r="D916" s="587"/>
      <c r="E916" s="587"/>
      <c r="F916" s="587"/>
      <c r="G916" s="587"/>
      <c r="H916" s="587"/>
      <c r="I916" s="587"/>
      <c r="J916" s="588"/>
      <c r="K916" s="141"/>
      <c r="L916" s="261"/>
      <c r="M916" s="258"/>
    </row>
    <row r="917" spans="2:13" ht="36" customHeight="1" x14ac:dyDescent="0.2">
      <c r="B917" s="134">
        <v>4</v>
      </c>
      <c r="C917" s="586"/>
      <c r="D917" s="587"/>
      <c r="E917" s="587"/>
      <c r="F917" s="587"/>
      <c r="G917" s="587"/>
      <c r="H917" s="587"/>
      <c r="I917" s="587"/>
      <c r="J917" s="588"/>
      <c r="K917" s="141"/>
      <c r="L917" s="261"/>
      <c r="M917" s="258"/>
    </row>
    <row r="918" spans="2:13" ht="36" customHeight="1" x14ac:dyDescent="0.2">
      <c r="B918" s="134">
        <v>5</v>
      </c>
      <c r="C918" s="586"/>
      <c r="D918" s="587"/>
      <c r="E918" s="587"/>
      <c r="F918" s="587"/>
      <c r="G918" s="587"/>
      <c r="H918" s="587"/>
      <c r="I918" s="587"/>
      <c r="J918" s="588"/>
      <c r="K918" s="141"/>
      <c r="L918" s="261"/>
      <c r="M918" s="258"/>
    </row>
    <row r="919" spans="2:13" ht="36" customHeight="1" x14ac:dyDescent="0.2">
      <c r="B919" s="134">
        <v>6</v>
      </c>
      <c r="C919" s="586"/>
      <c r="D919" s="587"/>
      <c r="E919" s="587"/>
      <c r="F919" s="587"/>
      <c r="G919" s="587"/>
      <c r="H919" s="587"/>
      <c r="I919" s="587"/>
      <c r="J919" s="588"/>
      <c r="K919" s="141"/>
      <c r="L919" s="261"/>
      <c r="M919" s="258"/>
    </row>
    <row r="920" spans="2:13" ht="36" customHeight="1" x14ac:dyDescent="0.2">
      <c r="B920" s="134">
        <v>7</v>
      </c>
      <c r="C920" s="586"/>
      <c r="D920" s="587"/>
      <c r="E920" s="587"/>
      <c r="F920" s="587"/>
      <c r="G920" s="587"/>
      <c r="H920" s="587"/>
      <c r="I920" s="587"/>
      <c r="J920" s="588"/>
      <c r="K920" s="141"/>
      <c r="L920" s="261"/>
      <c r="M920" s="258"/>
    </row>
    <row r="921" spans="2:13" ht="36" customHeight="1" x14ac:dyDescent="0.2">
      <c r="B921" s="134">
        <v>8</v>
      </c>
      <c r="C921" s="586"/>
      <c r="D921" s="587"/>
      <c r="E921" s="587"/>
      <c r="F921" s="587"/>
      <c r="G921" s="587"/>
      <c r="H921" s="587"/>
      <c r="I921" s="587"/>
      <c r="J921" s="588"/>
      <c r="K921" s="141"/>
      <c r="L921" s="261"/>
      <c r="M921" s="258"/>
    </row>
    <row r="922" spans="2:13" s="78" customFormat="1" ht="6.75" customHeight="1" x14ac:dyDescent="0.2"/>
    <row r="923" spans="2:13" ht="28.5" customHeight="1" x14ac:dyDescent="0.2">
      <c r="B923" s="486" t="s">
        <v>1318</v>
      </c>
      <c r="C923" s="581"/>
      <c r="D923" s="581"/>
      <c r="E923" s="581"/>
      <c r="F923" s="581"/>
      <c r="G923" s="581"/>
      <c r="H923" s="581"/>
      <c r="I923" s="581"/>
      <c r="J923" s="581"/>
      <c r="K923" s="581"/>
      <c r="L923" s="582"/>
    </row>
    <row r="924" spans="2:13" ht="30.75" customHeight="1" x14ac:dyDescent="0.2">
      <c r="B924" s="142">
        <v>1</v>
      </c>
      <c r="C924" s="583"/>
      <c r="D924" s="584"/>
      <c r="E924" s="584"/>
      <c r="F924" s="584"/>
      <c r="G924" s="584"/>
      <c r="H924" s="584"/>
      <c r="I924" s="584"/>
      <c r="J924" s="584"/>
      <c r="K924" s="584"/>
      <c r="L924" s="585"/>
    </row>
    <row r="925" spans="2:13" ht="30.75" customHeight="1" x14ac:dyDescent="0.2">
      <c r="B925" s="142">
        <v>2</v>
      </c>
      <c r="C925" s="583"/>
      <c r="D925" s="584"/>
      <c r="E925" s="584"/>
      <c r="F925" s="584"/>
      <c r="G925" s="584"/>
      <c r="H925" s="584"/>
      <c r="I925" s="584"/>
      <c r="J925" s="584"/>
      <c r="K925" s="584"/>
      <c r="L925" s="585"/>
    </row>
    <row r="926" spans="2:13" ht="30.75" customHeight="1" x14ac:dyDescent="0.2">
      <c r="B926" s="142">
        <v>3</v>
      </c>
      <c r="C926" s="583"/>
      <c r="D926" s="584"/>
      <c r="E926" s="584"/>
      <c r="F926" s="584"/>
      <c r="G926" s="584"/>
      <c r="H926" s="584"/>
      <c r="I926" s="584"/>
      <c r="J926" s="584"/>
      <c r="K926" s="584"/>
      <c r="L926" s="585"/>
    </row>
    <row r="927" spans="2:13" ht="30.75" customHeight="1" x14ac:dyDescent="0.2">
      <c r="B927" s="142">
        <v>4</v>
      </c>
      <c r="C927" s="583"/>
      <c r="D927" s="584"/>
      <c r="E927" s="584"/>
      <c r="F927" s="584"/>
      <c r="G927" s="584"/>
      <c r="H927" s="584"/>
      <c r="I927" s="584"/>
      <c r="J927" s="584"/>
      <c r="K927" s="584"/>
      <c r="L927" s="585"/>
    </row>
    <row r="928" spans="2:13" s="78" customFormat="1" ht="6.75" customHeight="1" x14ac:dyDescent="0.2"/>
    <row r="929" spans="2:12" ht="18" customHeight="1" x14ac:dyDescent="0.2">
      <c r="B929" s="664" t="s">
        <v>1319</v>
      </c>
      <c r="C929" s="665"/>
      <c r="D929" s="665"/>
      <c r="E929" s="665"/>
      <c r="F929" s="665"/>
      <c r="G929" s="665"/>
      <c r="H929" s="665"/>
      <c r="I929" s="665"/>
      <c r="J929" s="665"/>
      <c r="K929" s="665"/>
      <c r="L929" s="666"/>
    </row>
    <row r="930" spans="2:12" ht="18" customHeight="1" x14ac:dyDescent="0.2">
      <c r="B930" s="130"/>
      <c r="C930" s="72"/>
      <c r="D930" s="131"/>
      <c r="E930" s="131"/>
      <c r="F930" s="131"/>
      <c r="G930" s="131"/>
      <c r="H930" s="131"/>
      <c r="I930" s="131"/>
      <c r="J930" s="131"/>
      <c r="K930" s="131"/>
      <c r="L930" s="179"/>
    </row>
    <row r="931" spans="2:12" ht="18" customHeight="1" x14ac:dyDescent="0.2">
      <c r="B931" s="130"/>
      <c r="C931" s="72"/>
      <c r="D931" s="131"/>
      <c r="E931" s="131"/>
      <c r="F931" s="131"/>
      <c r="G931" s="131"/>
      <c r="H931" s="131"/>
      <c r="I931" s="131"/>
      <c r="J931" s="131"/>
      <c r="K931" s="131"/>
      <c r="L931" s="179"/>
    </row>
    <row r="932" spans="2:12" ht="18" customHeight="1" x14ac:dyDescent="0.2">
      <c r="B932" s="130"/>
      <c r="C932" s="72"/>
      <c r="D932" s="131"/>
      <c r="E932" s="131"/>
      <c r="F932" s="131"/>
      <c r="G932" s="131"/>
      <c r="H932" s="131"/>
      <c r="I932" s="131"/>
      <c r="J932" s="131"/>
      <c r="K932" s="131"/>
      <c r="L932" s="179"/>
    </row>
    <row r="933" spans="2:12" ht="18" customHeight="1" x14ac:dyDescent="0.2">
      <c r="B933" s="130"/>
      <c r="C933" s="72"/>
      <c r="D933" s="131"/>
      <c r="E933" s="131"/>
      <c r="F933" s="131"/>
      <c r="G933" s="131"/>
      <c r="H933" s="131"/>
      <c r="I933" s="131"/>
      <c r="J933" s="131"/>
      <c r="K933" s="131"/>
      <c r="L933" s="179"/>
    </row>
    <row r="934" spans="2:12" ht="18" customHeight="1" x14ac:dyDescent="0.2">
      <c r="B934" s="130"/>
      <c r="C934" s="72"/>
      <c r="D934" s="131"/>
      <c r="E934" s="131"/>
      <c r="F934" s="131"/>
      <c r="G934" s="131"/>
      <c r="H934" s="131"/>
      <c r="I934" s="131"/>
      <c r="J934" s="131"/>
      <c r="K934" s="131"/>
      <c r="L934" s="179"/>
    </row>
    <row r="935" spans="2:12" ht="18" customHeight="1" x14ac:dyDescent="0.2">
      <c r="B935" s="130"/>
      <c r="C935" s="72"/>
      <c r="D935" s="131"/>
      <c r="E935" s="131"/>
      <c r="F935" s="131"/>
      <c r="G935" s="131"/>
      <c r="H935" s="131"/>
      <c r="I935" s="131"/>
      <c r="J935" s="131"/>
      <c r="K935" s="131"/>
      <c r="L935" s="179"/>
    </row>
    <row r="936" spans="2:12" ht="18" customHeight="1" x14ac:dyDescent="0.2">
      <c r="B936" s="130"/>
      <c r="C936" s="72"/>
      <c r="D936" s="131"/>
      <c r="E936" s="131"/>
      <c r="F936" s="131"/>
      <c r="G936" s="131"/>
      <c r="H936" s="131"/>
      <c r="I936" s="131"/>
      <c r="J936" s="131"/>
      <c r="K936" s="131"/>
      <c r="L936" s="179"/>
    </row>
    <row r="937" spans="2:12" ht="18" customHeight="1" x14ac:dyDescent="0.2">
      <c r="B937" s="130"/>
      <c r="C937" s="72"/>
      <c r="D937" s="131"/>
      <c r="E937" s="131"/>
      <c r="F937" s="131"/>
      <c r="G937" s="131"/>
      <c r="H937" s="131"/>
      <c r="I937" s="131"/>
      <c r="J937" s="131"/>
      <c r="K937" s="131"/>
      <c r="L937" s="179"/>
    </row>
    <row r="938" spans="2:12" ht="18" customHeight="1" x14ac:dyDescent="0.2">
      <c r="B938" s="130"/>
      <c r="C938" s="72"/>
      <c r="D938" s="131"/>
      <c r="E938" s="131"/>
      <c r="F938" s="131"/>
      <c r="G938" s="131"/>
      <c r="H938" s="131"/>
      <c r="I938" s="131"/>
      <c r="J938" s="131"/>
      <c r="K938" s="131"/>
      <c r="L938" s="179"/>
    </row>
    <row r="939" spans="2:12" ht="18" customHeight="1" x14ac:dyDescent="0.2">
      <c r="B939" s="130"/>
      <c r="C939" s="72"/>
      <c r="D939" s="131"/>
      <c r="E939" s="131"/>
      <c r="F939" s="131"/>
      <c r="G939" s="131"/>
      <c r="H939" s="131"/>
      <c r="I939" s="131"/>
      <c r="J939" s="131"/>
      <c r="K939" s="131"/>
      <c r="L939" s="179"/>
    </row>
    <row r="940" spans="2:12" ht="18" customHeight="1" x14ac:dyDescent="0.2">
      <c r="B940" s="130"/>
      <c r="C940" s="72"/>
      <c r="D940" s="131"/>
      <c r="E940" s="131"/>
      <c r="F940" s="131"/>
      <c r="G940" s="131"/>
      <c r="H940" s="131"/>
      <c r="I940" s="131"/>
      <c r="J940" s="131"/>
      <c r="K940" s="131"/>
      <c r="L940" s="179"/>
    </row>
    <row r="941" spans="2:12" ht="9" customHeight="1" x14ac:dyDescent="0.2">
      <c r="B941" s="175"/>
      <c r="C941" s="172"/>
      <c r="D941" s="175"/>
      <c r="E941" s="175"/>
      <c r="F941" s="175"/>
      <c r="G941" s="175"/>
      <c r="H941" s="175"/>
      <c r="I941" s="175"/>
      <c r="J941" s="175"/>
      <c r="K941" s="175"/>
      <c r="L941" s="175"/>
    </row>
    <row r="942" spans="2:12" s="4" customFormat="1" ht="18" customHeight="1" x14ac:dyDescent="0.2">
      <c r="B942" s="138" t="s">
        <v>1320</v>
      </c>
      <c r="C942" s="109"/>
      <c r="D942" s="109"/>
      <c r="E942" s="109"/>
      <c r="F942" s="109"/>
      <c r="G942" s="109"/>
      <c r="H942" s="109"/>
      <c r="I942" s="109"/>
      <c r="J942" s="109"/>
      <c r="K942" s="109"/>
      <c r="L942" s="110"/>
    </row>
    <row r="943" spans="2:12" ht="6.75" customHeight="1" x14ac:dyDescent="0.2">
      <c r="B943" s="218"/>
      <c r="C943" s="214"/>
      <c r="D943" s="214"/>
      <c r="E943" s="214"/>
      <c r="F943" s="214"/>
      <c r="G943" s="214"/>
      <c r="H943" s="214"/>
      <c r="I943" s="214"/>
      <c r="J943" s="214"/>
      <c r="K943" s="214"/>
      <c r="L943" s="214"/>
    </row>
    <row r="944" spans="2:12" ht="28.5" customHeight="1" x14ac:dyDescent="0.2">
      <c r="B944" s="177"/>
      <c r="C944" s="216" t="s">
        <v>1321</v>
      </c>
      <c r="D944" s="217"/>
      <c r="E944" s="217"/>
      <c r="F944" s="217"/>
      <c r="G944" s="217"/>
      <c r="H944" s="217"/>
      <c r="I944" s="217"/>
      <c r="J944" s="217"/>
      <c r="K944" s="215"/>
      <c r="L944" s="215"/>
    </row>
    <row r="945" spans="1:14" ht="28.5" customHeight="1" x14ac:dyDescent="0.2">
      <c r="C945" s="139" t="s">
        <v>80</v>
      </c>
      <c r="D945" s="589" t="s">
        <v>25</v>
      </c>
      <c r="E945" s="591"/>
      <c r="F945" s="589" t="s">
        <v>180</v>
      </c>
      <c r="G945" s="590"/>
      <c r="H945" s="591"/>
      <c r="I945" s="589" t="s">
        <v>181</v>
      </c>
      <c r="J945" s="591"/>
      <c r="K945" s="230"/>
      <c r="L945" s="212"/>
    </row>
    <row r="946" spans="1:14" ht="36" customHeight="1" x14ac:dyDescent="0.2">
      <c r="C946" s="134">
        <v>1</v>
      </c>
      <c r="D946" s="493"/>
      <c r="E946" s="494"/>
      <c r="F946" s="493"/>
      <c r="G946" s="506"/>
      <c r="H946" s="494"/>
      <c r="I946" s="493"/>
      <c r="J946" s="494"/>
      <c r="K946" s="230"/>
      <c r="L946" s="213"/>
    </row>
    <row r="947" spans="1:14" ht="36" customHeight="1" x14ac:dyDescent="0.2">
      <c r="C947" s="134">
        <v>2</v>
      </c>
      <c r="D947" s="493"/>
      <c r="E947" s="494"/>
      <c r="F947" s="493"/>
      <c r="G947" s="506"/>
      <c r="H947" s="494"/>
      <c r="I947" s="493"/>
      <c r="J947" s="494"/>
      <c r="K947" s="230"/>
      <c r="L947" s="213"/>
    </row>
    <row r="948" spans="1:14" ht="36" customHeight="1" x14ac:dyDescent="0.2">
      <c r="C948" s="134">
        <v>3</v>
      </c>
      <c r="D948" s="493"/>
      <c r="E948" s="494"/>
      <c r="F948" s="493"/>
      <c r="G948" s="506"/>
      <c r="H948" s="494"/>
      <c r="I948" s="493"/>
      <c r="J948" s="494"/>
      <c r="K948" s="230"/>
      <c r="L948" s="213"/>
    </row>
    <row r="949" spans="1:14" ht="36" customHeight="1" x14ac:dyDescent="0.2">
      <c r="C949" s="134">
        <v>4</v>
      </c>
      <c r="D949" s="493"/>
      <c r="E949" s="494"/>
      <c r="F949" s="493"/>
      <c r="G949" s="506"/>
      <c r="H949" s="494"/>
      <c r="I949" s="493"/>
      <c r="J949" s="494"/>
      <c r="K949" s="230"/>
      <c r="L949" s="213"/>
    </row>
    <row r="950" spans="1:14" ht="36" customHeight="1" x14ac:dyDescent="0.2">
      <c r="C950" s="134">
        <v>5</v>
      </c>
      <c r="D950" s="493"/>
      <c r="E950" s="494"/>
      <c r="F950" s="493"/>
      <c r="G950" s="506"/>
      <c r="H950" s="494"/>
      <c r="I950" s="493"/>
      <c r="J950" s="494"/>
      <c r="K950" s="230"/>
      <c r="L950" s="213"/>
    </row>
    <row r="951" spans="1:14" ht="36" customHeight="1" x14ac:dyDescent="0.2">
      <c r="C951" s="134">
        <v>6</v>
      </c>
      <c r="D951" s="493"/>
      <c r="E951" s="494"/>
      <c r="F951" s="493"/>
      <c r="G951" s="506"/>
      <c r="H951" s="494"/>
      <c r="I951" s="493"/>
      <c r="J951" s="494"/>
      <c r="K951" s="230"/>
      <c r="L951" s="213"/>
    </row>
    <row r="952" spans="1:14" ht="36" customHeight="1" x14ac:dyDescent="0.2">
      <c r="C952" s="134">
        <v>7</v>
      </c>
      <c r="D952" s="493"/>
      <c r="E952" s="494"/>
      <c r="F952" s="493"/>
      <c r="G952" s="506"/>
      <c r="H952" s="494"/>
      <c r="I952" s="493"/>
      <c r="J952" s="494"/>
      <c r="K952" s="230"/>
      <c r="L952" s="213"/>
    </row>
    <row r="953" spans="1:14" ht="36" customHeight="1" x14ac:dyDescent="0.2">
      <c r="C953" s="134">
        <v>8</v>
      </c>
      <c r="D953" s="493"/>
      <c r="E953" s="494"/>
      <c r="F953" s="493"/>
      <c r="G953" s="506"/>
      <c r="H953" s="494"/>
      <c r="I953" s="493"/>
      <c r="J953" s="494"/>
      <c r="K953" s="230"/>
      <c r="L953" s="213"/>
    </row>
    <row r="954" spans="1:14" ht="6.75" customHeight="1" x14ac:dyDescent="0.2">
      <c r="A954" s="4"/>
      <c r="B954" s="177"/>
      <c r="C954" s="215"/>
      <c r="D954" s="215"/>
      <c r="E954" s="215"/>
      <c r="F954" s="215"/>
      <c r="G954" s="215"/>
      <c r="H954" s="215"/>
      <c r="I954" s="215"/>
      <c r="J954" s="215"/>
      <c r="K954" s="215"/>
      <c r="L954" s="215"/>
      <c r="M954" s="4"/>
    </row>
    <row r="955" spans="1:14" ht="18" customHeight="1" x14ac:dyDescent="0.2">
      <c r="B955" s="143" t="s">
        <v>1322</v>
      </c>
      <c r="C955" s="144"/>
      <c r="D955" s="144"/>
      <c r="E955" s="144"/>
      <c r="F955" s="144"/>
      <c r="G955" s="144"/>
      <c r="H955" s="144"/>
      <c r="I955" s="144"/>
      <c r="J955" s="144"/>
      <c r="K955" s="210"/>
      <c r="L955" s="211"/>
    </row>
    <row r="956" spans="1:14" ht="18" customHeight="1" x14ac:dyDescent="0.2">
      <c r="B956" s="553" t="s">
        <v>1331</v>
      </c>
      <c r="C956" s="554"/>
      <c r="D956" s="554"/>
      <c r="E956" s="554"/>
      <c r="F956" s="554"/>
      <c r="G956" s="554"/>
      <c r="H956" s="554"/>
      <c r="I956" s="554"/>
      <c r="J956" s="554"/>
      <c r="K956" s="554"/>
      <c r="L956" s="555"/>
    </row>
    <row r="957" spans="1:14" ht="110.25" customHeight="1" x14ac:dyDescent="0.2">
      <c r="B957" s="556"/>
      <c r="C957" s="557"/>
      <c r="D957" s="557"/>
      <c r="E957" s="557"/>
      <c r="F957" s="557"/>
      <c r="G957" s="557"/>
      <c r="H957" s="557"/>
      <c r="I957" s="557"/>
      <c r="J957" s="557"/>
      <c r="K957" s="557"/>
      <c r="L957" s="558"/>
      <c r="N957" s="445"/>
    </row>
    <row r="958" spans="1:14" ht="39" customHeight="1" x14ac:dyDescent="0.2">
      <c r="B958" s="539" t="s">
        <v>1332</v>
      </c>
      <c r="C958" s="559"/>
      <c r="D958" s="559"/>
      <c r="E958" s="559"/>
      <c r="F958" s="559"/>
      <c r="G958" s="559"/>
      <c r="H958" s="559"/>
      <c r="I958" s="559"/>
      <c r="J958" s="559"/>
      <c r="K958" s="559"/>
      <c r="L958" s="560"/>
      <c r="N958" s="445"/>
    </row>
    <row r="959" spans="1:14" ht="95.25" customHeight="1" x14ac:dyDescent="0.2">
      <c r="B959" s="539" t="s">
        <v>1333</v>
      </c>
      <c r="C959" s="540"/>
      <c r="D959" s="540"/>
      <c r="E959" s="540"/>
      <c r="F959" s="540"/>
      <c r="G959" s="540"/>
      <c r="H959" s="540"/>
      <c r="I959" s="540"/>
      <c r="J959" s="540"/>
      <c r="K959" s="540"/>
      <c r="L959" s="541"/>
      <c r="N959" s="445"/>
    </row>
    <row r="960" spans="1:14" ht="27.75" customHeight="1" x14ac:dyDescent="0.2">
      <c r="B960" s="542" t="s">
        <v>1334</v>
      </c>
      <c r="C960" s="543"/>
      <c r="D960" s="543"/>
      <c r="E960" s="543"/>
      <c r="F960" s="543"/>
      <c r="G960" s="543"/>
      <c r="H960" s="543"/>
      <c r="I960" s="543"/>
      <c r="J960" s="543"/>
      <c r="K960" s="543"/>
      <c r="L960" s="544"/>
      <c r="N960" s="445"/>
    </row>
    <row r="961" spans="2:14" ht="12.75" customHeight="1" x14ac:dyDescent="0.2">
      <c r="B961" s="545" t="s">
        <v>1335</v>
      </c>
      <c r="C961" s="546"/>
      <c r="D961" s="546"/>
      <c r="E961" s="546"/>
      <c r="F961" s="546"/>
      <c r="G961" s="546"/>
      <c r="H961" s="546"/>
      <c r="I961" s="546"/>
      <c r="J961" s="546"/>
      <c r="K961" s="546"/>
      <c r="L961" s="547"/>
      <c r="N961" s="445"/>
    </row>
    <row r="962" spans="2:14" ht="12.75" customHeight="1" x14ac:dyDescent="0.2">
      <c r="B962" s="545" t="s">
        <v>1336</v>
      </c>
      <c r="C962" s="546"/>
      <c r="D962" s="546"/>
      <c r="E962" s="546"/>
      <c r="F962" s="546"/>
      <c r="G962" s="546"/>
      <c r="H962" s="546"/>
      <c r="I962" s="546"/>
      <c r="J962" s="546"/>
      <c r="K962" s="546"/>
      <c r="L962" s="547"/>
      <c r="N962" s="445"/>
    </row>
    <row r="963" spans="2:14" ht="12.75" customHeight="1" x14ac:dyDescent="0.2">
      <c r="B963" s="545" t="s">
        <v>1337</v>
      </c>
      <c r="C963" s="546"/>
      <c r="D963" s="546"/>
      <c r="E963" s="546"/>
      <c r="F963" s="546"/>
      <c r="G963" s="546"/>
      <c r="H963" s="546"/>
      <c r="I963" s="546"/>
      <c r="J963" s="546"/>
      <c r="K963" s="546"/>
      <c r="L963" s="547"/>
      <c r="N963" s="446"/>
    </row>
    <row r="964" spans="2:14" ht="49.5" customHeight="1" x14ac:dyDescent="0.2">
      <c r="B964" s="550" t="s">
        <v>1338</v>
      </c>
      <c r="C964" s="551"/>
      <c r="D964" s="551"/>
      <c r="E964" s="551"/>
      <c r="F964" s="551"/>
      <c r="G964" s="551"/>
      <c r="H964" s="551"/>
      <c r="I964" s="551"/>
      <c r="J964" s="551"/>
      <c r="K964" s="551"/>
      <c r="L964" s="552"/>
      <c r="N964" s="446"/>
    </row>
    <row r="965" spans="2:14" ht="12.75" customHeight="1" x14ac:dyDescent="0.2">
      <c r="B965" s="148"/>
      <c r="C965" s="149"/>
      <c r="D965" s="149"/>
      <c r="E965" s="149"/>
      <c r="F965" s="149"/>
      <c r="G965" s="149"/>
      <c r="H965" s="149"/>
      <c r="I965" s="149"/>
      <c r="J965" s="149"/>
      <c r="K965" s="149"/>
      <c r="L965" s="150"/>
      <c r="N965" s="446"/>
    </row>
    <row r="966" spans="2:14" ht="63" customHeight="1" x14ac:dyDescent="0.2">
      <c r="B966" s="542" t="s">
        <v>1339</v>
      </c>
      <c r="C966" s="548"/>
      <c r="D966" s="548"/>
      <c r="E966" s="548"/>
      <c r="F966" s="548"/>
      <c r="G966" s="548"/>
      <c r="H966" s="548"/>
      <c r="I966" s="548"/>
      <c r="J966" s="548"/>
      <c r="K966" s="548"/>
      <c r="L966" s="549"/>
      <c r="N966" s="446"/>
    </row>
    <row r="967" spans="2:14" ht="12.75" customHeight="1" x14ac:dyDescent="0.2">
      <c r="B967" s="545"/>
      <c r="C967" s="606"/>
      <c r="D967" s="606"/>
      <c r="E967" s="606"/>
      <c r="F967" s="606"/>
      <c r="G967" s="606"/>
      <c r="H967" s="606"/>
      <c r="I967" s="606"/>
      <c r="J967" s="606"/>
      <c r="K967" s="606"/>
      <c r="L967" s="607"/>
      <c r="N967" s="445"/>
    </row>
    <row r="968" spans="2:14" ht="12.75" customHeight="1" x14ac:dyDescent="0.2">
      <c r="B968" s="605"/>
      <c r="C968" s="606"/>
      <c r="D968" s="606"/>
      <c r="E968" s="606"/>
      <c r="F968" s="606"/>
      <c r="G968" s="606"/>
      <c r="H968" s="606"/>
      <c r="I968" s="606"/>
      <c r="J968" s="606"/>
      <c r="K968" s="606"/>
      <c r="L968" s="607"/>
      <c r="N968" s="445"/>
    </row>
    <row r="969" spans="2:14" ht="30" customHeight="1" x14ac:dyDescent="0.2">
      <c r="B969" s="545" t="s">
        <v>1340</v>
      </c>
      <c r="C969" s="546"/>
      <c r="D969" s="546"/>
      <c r="E969" s="546"/>
      <c r="F969" s="546"/>
      <c r="G969" s="546"/>
      <c r="H969" s="546"/>
      <c r="I969" s="546"/>
      <c r="J969" s="546"/>
      <c r="K969" s="546"/>
      <c r="L969" s="547"/>
      <c r="N969" s="445"/>
    </row>
    <row r="970" spans="2:14" ht="12.75" customHeight="1" x14ac:dyDescent="0.2">
      <c r="B970" s="545" t="s">
        <v>1341</v>
      </c>
      <c r="C970" s="546"/>
      <c r="D970" s="546"/>
      <c r="E970" s="546"/>
      <c r="F970" s="546"/>
      <c r="G970" s="546"/>
      <c r="H970" s="546"/>
      <c r="I970" s="546"/>
      <c r="J970" s="546"/>
      <c r="K970" s="546"/>
      <c r="L970" s="547"/>
      <c r="N970" s="445"/>
    </row>
    <row r="971" spans="2:14" ht="27" customHeight="1" x14ac:dyDescent="0.2">
      <c r="B971" s="602"/>
      <c r="C971" s="603"/>
      <c r="D971" s="603"/>
      <c r="E971" s="603"/>
      <c r="F971" s="603"/>
      <c r="G971" s="603"/>
      <c r="H971" s="603"/>
      <c r="I971" s="603"/>
      <c r="J971" s="603"/>
      <c r="K971" s="603"/>
      <c r="L971" s="604"/>
      <c r="N971" s="107"/>
    </row>
    <row r="972" spans="2:14" ht="12.75" customHeight="1" x14ac:dyDescent="0.2">
      <c r="B972" s="151"/>
      <c r="C972" s="145"/>
      <c r="D972" s="145"/>
      <c r="E972" s="145"/>
      <c r="F972" s="145"/>
      <c r="G972" s="145"/>
      <c r="H972" s="145"/>
      <c r="I972" s="145"/>
      <c r="J972" s="145"/>
      <c r="K972" s="145"/>
      <c r="L972" s="146"/>
      <c r="N972" s="107"/>
    </row>
    <row r="973" spans="2:14" ht="39" customHeight="1" x14ac:dyDescent="0.2">
      <c r="B973" s="542" t="s">
        <v>1342</v>
      </c>
      <c r="C973" s="543"/>
      <c r="D973" s="543"/>
      <c r="E973" s="543"/>
      <c r="F973" s="543"/>
      <c r="G973" s="543"/>
      <c r="H973" s="543"/>
      <c r="I973" s="543"/>
      <c r="J973" s="543"/>
      <c r="K973" s="543"/>
      <c r="L973" s="544"/>
      <c r="N973" s="107"/>
    </row>
    <row r="974" spans="2:14" ht="12.75" customHeight="1" x14ac:dyDescent="0.2">
      <c r="B974" s="147"/>
      <c r="C974" s="145"/>
      <c r="D974" s="145"/>
      <c r="E974" s="145"/>
      <c r="F974" s="145"/>
      <c r="G974" s="145"/>
      <c r="H974" s="145"/>
      <c r="I974" s="145"/>
      <c r="J974" s="145"/>
      <c r="K974" s="145"/>
      <c r="L974" s="146"/>
      <c r="N974" s="107"/>
    </row>
    <row r="975" spans="2:14" ht="12.75" customHeight="1" x14ac:dyDescent="0.2">
      <c r="B975" s="147"/>
      <c r="C975" s="152"/>
      <c r="D975" s="152"/>
      <c r="E975" s="152"/>
      <c r="F975" s="152"/>
      <c r="G975" s="152"/>
      <c r="H975" s="152"/>
      <c r="I975" s="152"/>
      <c r="J975" s="152"/>
      <c r="K975" s="152"/>
      <c r="L975" s="153"/>
      <c r="N975" s="107"/>
    </row>
    <row r="976" spans="2:14" s="80" customFormat="1" ht="18.75" customHeight="1" x14ac:dyDescent="0.2">
      <c r="B976" s="154"/>
      <c r="C976" s="155"/>
      <c r="D976" s="575" t="s">
        <v>1323</v>
      </c>
      <c r="E976" s="575"/>
      <c r="F976" s="575"/>
      <c r="G976" s="575"/>
      <c r="H976" s="575" t="s">
        <v>1324</v>
      </c>
      <c r="I976" s="575"/>
      <c r="J976" s="575"/>
      <c r="K976" s="575"/>
      <c r="L976" s="156"/>
    </row>
    <row r="977" spans="2:12" s="78" customFormat="1" ht="21.95" customHeight="1" x14ac:dyDescent="0.2">
      <c r="B977" s="157"/>
      <c r="C977" s="158" t="s">
        <v>1121</v>
      </c>
      <c r="D977" s="572"/>
      <c r="E977" s="573"/>
      <c r="F977" s="573"/>
      <c r="G977" s="574"/>
      <c r="H977" s="572"/>
      <c r="I977" s="573"/>
      <c r="J977" s="573"/>
      <c r="K977" s="574"/>
      <c r="L977" s="159"/>
    </row>
    <row r="978" spans="2:12" s="78" customFormat="1" ht="12.75" customHeight="1" x14ac:dyDescent="0.2">
      <c r="B978" s="157"/>
      <c r="C978" s="160"/>
      <c r="D978" s="97"/>
      <c r="E978" s="97"/>
      <c r="F978" s="97"/>
      <c r="G978" s="97"/>
      <c r="H978" s="97"/>
      <c r="I978" s="97"/>
      <c r="J978" s="97"/>
      <c r="K978" s="97"/>
      <c r="L978" s="159"/>
    </row>
    <row r="979" spans="2:12" s="78" customFormat="1" ht="60" customHeight="1" x14ac:dyDescent="0.2">
      <c r="B979" s="157"/>
      <c r="C979" s="161" t="s">
        <v>1325</v>
      </c>
      <c r="D979" s="576"/>
      <c r="E979" s="577"/>
      <c r="F979" s="577"/>
      <c r="G979" s="578"/>
      <c r="H979" s="576"/>
      <c r="I979" s="577"/>
      <c r="J979" s="577"/>
      <c r="K979" s="578"/>
      <c r="L979" s="159"/>
    </row>
    <row r="980" spans="2:12" s="78" customFormat="1" ht="12.75" customHeight="1" x14ac:dyDescent="0.2">
      <c r="B980" s="157"/>
      <c r="C980" s="160"/>
      <c r="D980" s="97"/>
      <c r="E980" s="97"/>
      <c r="F980" s="97"/>
      <c r="G980" s="97"/>
      <c r="H980" s="97"/>
      <c r="I980" s="97"/>
      <c r="J980" s="97"/>
      <c r="K980" s="97"/>
      <c r="L980" s="159"/>
    </row>
    <row r="981" spans="2:12" s="78" customFormat="1" ht="21.95" customHeight="1" x14ac:dyDescent="0.2">
      <c r="B981" s="157"/>
      <c r="C981" s="158" t="s">
        <v>1326</v>
      </c>
      <c r="D981" s="572"/>
      <c r="E981" s="573"/>
      <c r="F981" s="573"/>
      <c r="G981" s="574"/>
      <c r="H981" s="572"/>
      <c r="I981" s="573"/>
      <c r="J981" s="573"/>
      <c r="K981" s="574"/>
      <c r="L981" s="159"/>
    </row>
    <row r="982" spans="2:12" s="78" customFormat="1" ht="12.75" customHeight="1" x14ac:dyDescent="0.2">
      <c r="B982" s="157"/>
      <c r="C982" s="160"/>
      <c r="D982" s="97"/>
      <c r="E982" s="97"/>
      <c r="F982" s="97"/>
      <c r="G982" s="97"/>
      <c r="H982" s="97"/>
      <c r="I982" s="97"/>
      <c r="J982" s="97"/>
      <c r="K982" s="97"/>
      <c r="L982" s="159"/>
    </row>
    <row r="983" spans="2:12" s="80" customFormat="1" ht="15" customHeight="1" x14ac:dyDescent="0.2">
      <c r="B983" s="154"/>
      <c r="C983" s="155"/>
      <c r="D983" s="162" t="s">
        <v>1328</v>
      </c>
      <c r="E983" s="162" t="s">
        <v>1329</v>
      </c>
      <c r="F983" s="162" t="s">
        <v>1330</v>
      </c>
      <c r="G983" s="95"/>
      <c r="H983" s="162" t="s">
        <v>1328</v>
      </c>
      <c r="I983" s="162" t="s">
        <v>1329</v>
      </c>
      <c r="J983" s="162" t="s">
        <v>1330</v>
      </c>
      <c r="K983" s="95"/>
      <c r="L983" s="156"/>
    </row>
    <row r="984" spans="2:12" s="78" customFormat="1" ht="15" customHeight="1" x14ac:dyDescent="0.2">
      <c r="B984" s="157"/>
      <c r="C984" s="158" t="s">
        <v>1327</v>
      </c>
      <c r="D984" s="259"/>
      <c r="E984" s="260"/>
      <c r="F984" s="259"/>
      <c r="G984" s="97"/>
      <c r="H984" s="259"/>
      <c r="I984" s="260"/>
      <c r="J984" s="259"/>
      <c r="K984" s="97"/>
      <c r="L984" s="159"/>
    </row>
    <row r="985" spans="2:12" s="78" customFormat="1" ht="15" customHeight="1" x14ac:dyDescent="0.2">
      <c r="B985" s="157"/>
      <c r="C985" s="163"/>
      <c r="D985" s="164"/>
      <c r="E985" s="97"/>
      <c r="F985" s="97"/>
      <c r="G985" s="97"/>
      <c r="H985" s="164"/>
      <c r="I985" s="97"/>
      <c r="J985" s="97"/>
      <c r="K985" s="97"/>
      <c r="L985" s="159"/>
    </row>
    <row r="986" spans="2:12" s="78" customFormat="1" ht="12.75" customHeight="1" x14ac:dyDescent="0.2">
      <c r="B986" s="165"/>
      <c r="C986" s="166"/>
      <c r="D986" s="167"/>
      <c r="E986" s="167"/>
      <c r="F986" s="167"/>
      <c r="G986" s="167"/>
      <c r="H986" s="167"/>
      <c r="I986" s="167"/>
      <c r="J986" s="167"/>
      <c r="K986" s="167"/>
      <c r="L986" s="168"/>
    </row>
    <row r="988" spans="2:12" ht="18" customHeight="1" x14ac:dyDescent="0.2">
      <c r="D988" s="187"/>
    </row>
    <row r="989" spans="2:12" ht="18" customHeight="1" x14ac:dyDescent="0.2">
      <c r="D989" s="187"/>
    </row>
    <row r="990" spans="2:12" ht="18" customHeight="1" x14ac:dyDescent="0.2">
      <c r="D990" s="187"/>
    </row>
    <row r="991" spans="2:12" ht="18" customHeight="1" x14ac:dyDescent="0.2">
      <c r="D991" s="187"/>
    </row>
  </sheetData>
  <sheetProtection selectLockedCells="1"/>
  <dataConsolidate/>
  <mergeCells count="530">
    <mergeCell ref="C711:F711"/>
    <mergeCell ref="C712:F712"/>
    <mergeCell ref="C713:F713"/>
    <mergeCell ref="C714:F714"/>
    <mergeCell ref="C715:F715"/>
    <mergeCell ref="C716:F716"/>
    <mergeCell ref="J707:K707"/>
    <mergeCell ref="B709:B710"/>
    <mergeCell ref="C737:F737"/>
    <mergeCell ref="C717:F717"/>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J848:L848"/>
    <mergeCell ref="C738:F738"/>
    <mergeCell ref="C739:F739"/>
    <mergeCell ref="K890:L891"/>
    <mergeCell ref="B853:J853"/>
    <mergeCell ref="B888:E888"/>
    <mergeCell ref="K889:L889"/>
    <mergeCell ref="B854:J854"/>
    <mergeCell ref="K854:L854"/>
    <mergeCell ref="J846:L846"/>
    <mergeCell ref="C740:F740"/>
    <mergeCell ref="C741:F741"/>
    <mergeCell ref="C742:F742"/>
    <mergeCell ref="C743:F743"/>
    <mergeCell ref="C744:F744"/>
    <mergeCell ref="C745:F745"/>
    <mergeCell ref="J873:K873"/>
    <mergeCell ref="B855:J855"/>
    <mergeCell ref="C746:F746"/>
    <mergeCell ref="C747:F747"/>
    <mergeCell ref="C748:F748"/>
    <mergeCell ref="C749:F749"/>
    <mergeCell ref="C750:F750"/>
    <mergeCell ref="J845:L845"/>
    <mergeCell ref="B881:E881"/>
    <mergeCell ref="B882:E882"/>
    <mergeCell ref="F879:J879"/>
    <mergeCell ref="B889:E889"/>
    <mergeCell ref="B884:E884"/>
    <mergeCell ref="B885:E885"/>
    <mergeCell ref="K886:L886"/>
    <mergeCell ref="K887:L887"/>
    <mergeCell ref="B887:E887"/>
    <mergeCell ref="K884:L884"/>
    <mergeCell ref="K885:L885"/>
    <mergeCell ref="K888:L888"/>
    <mergeCell ref="B842:D842"/>
    <mergeCell ref="J842:L842"/>
    <mergeCell ref="J843:L843"/>
    <mergeCell ref="B843:D843"/>
    <mergeCell ref="B844:D844"/>
    <mergeCell ref="B845:D845"/>
    <mergeCell ref="B846:D846"/>
    <mergeCell ref="B847:D847"/>
    <mergeCell ref="B848:D848"/>
    <mergeCell ref="J844:L844"/>
    <mergeCell ref="J847:L847"/>
    <mergeCell ref="C917:J917"/>
    <mergeCell ref="C918:J918"/>
    <mergeCell ref="C919:J919"/>
    <mergeCell ref="C921:J921"/>
    <mergeCell ref="C924:L924"/>
    <mergeCell ref="C925:L925"/>
    <mergeCell ref="C926:L926"/>
    <mergeCell ref="F890:J890"/>
    <mergeCell ref="J849:L849"/>
    <mergeCell ref="B896:E896"/>
    <mergeCell ref="B849:D849"/>
    <mergeCell ref="K896:L896"/>
    <mergeCell ref="B892:E892"/>
    <mergeCell ref="K892:L892"/>
    <mergeCell ref="B894:E894"/>
    <mergeCell ref="K894:L894"/>
    <mergeCell ref="B893:E893"/>
    <mergeCell ref="K893:L893"/>
    <mergeCell ref="J875:K875"/>
    <mergeCell ref="B879:E880"/>
    <mergeCell ref="K881:L881"/>
    <mergeCell ref="K882:L882"/>
    <mergeCell ref="K883:L883"/>
    <mergeCell ref="B883:E883"/>
    <mergeCell ref="E103:G103"/>
    <mergeCell ref="D98:H98"/>
    <mergeCell ref="C464:D464"/>
    <mergeCell ref="C218:K218"/>
    <mergeCell ref="B80:H80"/>
    <mergeCell ref="B78:F78"/>
    <mergeCell ref="D160:K160"/>
    <mergeCell ref="B895:E895"/>
    <mergeCell ref="I945:J945"/>
    <mergeCell ref="F945:H945"/>
    <mergeCell ref="D945:E945"/>
    <mergeCell ref="B900:E900"/>
    <mergeCell ref="K900:L900"/>
    <mergeCell ref="B897:E897"/>
    <mergeCell ref="K897:L897"/>
    <mergeCell ref="B898:E898"/>
    <mergeCell ref="K898:L898"/>
    <mergeCell ref="B899:E899"/>
    <mergeCell ref="B929:L929"/>
    <mergeCell ref="B912:L912"/>
    <mergeCell ref="C915:J915"/>
    <mergeCell ref="C914:J914"/>
    <mergeCell ref="K899:L899"/>
    <mergeCell ref="K895:L895"/>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8:E688"/>
    <mergeCell ref="H95:K95"/>
    <mergeCell ref="E95:G95"/>
    <mergeCell ref="E105:G105"/>
    <mergeCell ref="D115:E115"/>
    <mergeCell ref="D117:K117"/>
    <mergeCell ref="D109:K109"/>
    <mergeCell ref="D111:K111"/>
    <mergeCell ref="H586:I586"/>
    <mergeCell ref="C271:K271"/>
    <mergeCell ref="C297:K297"/>
    <mergeCell ref="C326:K326"/>
    <mergeCell ref="C352:K352"/>
    <mergeCell ref="C441:D441"/>
    <mergeCell ref="I441:K441"/>
    <mergeCell ref="C442:D442"/>
    <mergeCell ref="I442:K442"/>
    <mergeCell ref="D494:I494"/>
    <mergeCell ref="J494:K494"/>
    <mergeCell ref="C443:D443"/>
    <mergeCell ref="I443:K443"/>
    <mergeCell ref="C444:D444"/>
    <mergeCell ref="I444:K444"/>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1:G981"/>
    <mergeCell ref="H981:K981"/>
    <mergeCell ref="H976:K976"/>
    <mergeCell ref="D977:G977"/>
    <mergeCell ref="H977:K977"/>
    <mergeCell ref="D979:G979"/>
    <mergeCell ref="H979:K979"/>
    <mergeCell ref="D976:G976"/>
    <mergeCell ref="K852:L852"/>
    <mergeCell ref="B852:J852"/>
    <mergeCell ref="B923:L923"/>
    <mergeCell ref="C927:L927"/>
    <mergeCell ref="C920:J920"/>
    <mergeCell ref="K856:L856"/>
    <mergeCell ref="K853:L853"/>
    <mergeCell ref="C913:J913"/>
    <mergeCell ref="K879:L880"/>
    <mergeCell ref="B890:E891"/>
    <mergeCell ref="B973:L973"/>
    <mergeCell ref="B971:L971"/>
    <mergeCell ref="B970:L970"/>
    <mergeCell ref="B968:L968"/>
    <mergeCell ref="B967:L967"/>
    <mergeCell ref="C916:J916"/>
    <mergeCell ref="J568:K568"/>
    <mergeCell ref="F565:G565"/>
    <mergeCell ref="L76:L77"/>
    <mergeCell ref="D512:K512"/>
    <mergeCell ref="D497:H497"/>
    <mergeCell ref="D498:H498"/>
    <mergeCell ref="D499:H499"/>
    <mergeCell ref="D500:H500"/>
    <mergeCell ref="I502:K502"/>
    <mergeCell ref="I457:K457"/>
    <mergeCell ref="C458:D458"/>
    <mergeCell ref="I458:K458"/>
    <mergeCell ref="C460:D460"/>
    <mergeCell ref="I460:K460"/>
    <mergeCell ref="C461:D461"/>
    <mergeCell ref="I461:K461"/>
    <mergeCell ref="C462:D462"/>
    <mergeCell ref="I462:K462"/>
    <mergeCell ref="C463:D463"/>
    <mergeCell ref="D502:H502"/>
    <mergeCell ref="D503:H503"/>
    <mergeCell ref="I503:K503"/>
    <mergeCell ref="D100:H100"/>
    <mergeCell ref="B112:C114"/>
    <mergeCell ref="I464:K464"/>
    <mergeCell ref="I485:K485"/>
    <mergeCell ref="C244:K244"/>
    <mergeCell ref="J584:K584"/>
    <mergeCell ref="I447:K447"/>
    <mergeCell ref="C457:D457"/>
    <mergeCell ref="C459:D459"/>
    <mergeCell ref="I459:K459"/>
    <mergeCell ref="C484:D484"/>
    <mergeCell ref="I484:K484"/>
    <mergeCell ref="J571:K571"/>
    <mergeCell ref="B578:C578"/>
    <mergeCell ref="J578:K578"/>
    <mergeCell ref="F577:G577"/>
    <mergeCell ref="H577:I577"/>
    <mergeCell ref="J577:K577"/>
    <mergeCell ref="H583:I583"/>
    <mergeCell ref="J583:K583"/>
    <mergeCell ref="H573:I573"/>
    <mergeCell ref="D501:H501"/>
    <mergeCell ref="D566:E566"/>
    <mergeCell ref="F566:G566"/>
    <mergeCell ref="H569:I569"/>
    <mergeCell ref="J569:K569"/>
    <mergeCell ref="E519:G519"/>
    <mergeCell ref="D589:E589"/>
    <mergeCell ref="H565:I565"/>
    <mergeCell ref="J565:K565"/>
    <mergeCell ref="I445:K445"/>
    <mergeCell ref="C446:D446"/>
    <mergeCell ref="I463:K463"/>
    <mergeCell ref="C381:K381"/>
    <mergeCell ref="C407:K407"/>
    <mergeCell ref="C436:D436"/>
    <mergeCell ref="I436:K436"/>
    <mergeCell ref="C437:D437"/>
    <mergeCell ref="C439:D439"/>
    <mergeCell ref="I439:K439"/>
    <mergeCell ref="C440:D440"/>
    <mergeCell ref="I440:K440"/>
    <mergeCell ref="I437:K437"/>
    <mergeCell ref="C438:D438"/>
    <mergeCell ref="I438:K438"/>
    <mergeCell ref="I446:K446"/>
    <mergeCell ref="C447:D447"/>
    <mergeCell ref="C410:G410"/>
    <mergeCell ref="G507:K507"/>
    <mergeCell ref="C445:D445"/>
    <mergeCell ref="F572:G572"/>
    <mergeCell ref="D582:E582"/>
    <mergeCell ref="F582:G582"/>
    <mergeCell ref="D587:E587"/>
    <mergeCell ref="F587:G587"/>
    <mergeCell ref="B585:C585"/>
    <mergeCell ref="B586:C586"/>
    <mergeCell ref="D586:E586"/>
    <mergeCell ref="F586:G586"/>
    <mergeCell ref="B565:C565"/>
    <mergeCell ref="B567:C567"/>
    <mergeCell ref="D565:E565"/>
    <mergeCell ref="B583:C583"/>
    <mergeCell ref="B576:C576"/>
    <mergeCell ref="J576:K576"/>
    <mergeCell ref="H582:I582"/>
    <mergeCell ref="J582:K582"/>
    <mergeCell ref="H575:I575"/>
    <mergeCell ref="H570:I570"/>
    <mergeCell ref="H572:I572"/>
    <mergeCell ref="H571:I571"/>
    <mergeCell ref="D570:E570"/>
    <mergeCell ref="J573:K573"/>
    <mergeCell ref="D583:E583"/>
    <mergeCell ref="F583:G583"/>
    <mergeCell ref="D576:E576"/>
    <mergeCell ref="D578:E578"/>
    <mergeCell ref="F578:G578"/>
    <mergeCell ref="H578:I578"/>
    <mergeCell ref="D573:E573"/>
    <mergeCell ref="F573:G573"/>
    <mergeCell ref="B577:C577"/>
    <mergeCell ref="D577:E577"/>
    <mergeCell ref="D567:E567"/>
    <mergeCell ref="F567:G567"/>
    <mergeCell ref="H567:I567"/>
    <mergeCell ref="J567:K567"/>
    <mergeCell ref="B566:C566"/>
    <mergeCell ref="J566:K566"/>
    <mergeCell ref="J575:K575"/>
    <mergeCell ref="D575:E575"/>
    <mergeCell ref="F575:G575"/>
    <mergeCell ref="B575:C575"/>
    <mergeCell ref="J574:K574"/>
    <mergeCell ref="B574:C574"/>
    <mergeCell ref="D574:E574"/>
    <mergeCell ref="F574:G574"/>
    <mergeCell ref="H574:I574"/>
    <mergeCell ref="F568:G568"/>
    <mergeCell ref="H568:I568"/>
    <mergeCell ref="J572:K572"/>
    <mergeCell ref="H566:I566"/>
    <mergeCell ref="J570:K570"/>
    <mergeCell ref="F570:G570"/>
    <mergeCell ref="D571:E571"/>
    <mergeCell ref="F571:G571"/>
    <mergeCell ref="D572:E572"/>
    <mergeCell ref="B611:C622"/>
    <mergeCell ref="B592:C592"/>
    <mergeCell ref="H592:I592"/>
    <mergeCell ref="J592:K592"/>
    <mergeCell ref="H588:I588"/>
    <mergeCell ref="J588:K588"/>
    <mergeCell ref="D581:E581"/>
    <mergeCell ref="F581:G581"/>
    <mergeCell ref="H581:I581"/>
    <mergeCell ref="J581:K581"/>
    <mergeCell ref="D584:E584"/>
    <mergeCell ref="F584:G584"/>
    <mergeCell ref="J589:K589"/>
    <mergeCell ref="H587:I587"/>
    <mergeCell ref="H585:I585"/>
    <mergeCell ref="F589:G589"/>
    <mergeCell ref="H589:I589"/>
    <mergeCell ref="D590:E590"/>
    <mergeCell ref="F590:G590"/>
    <mergeCell ref="H590:I590"/>
    <mergeCell ref="D588:E588"/>
    <mergeCell ref="F588:G588"/>
    <mergeCell ref="D585:E585"/>
    <mergeCell ref="F585:G585"/>
    <mergeCell ref="J590:K590"/>
    <mergeCell ref="B579:C579"/>
    <mergeCell ref="D579:E579"/>
    <mergeCell ref="F579:G579"/>
    <mergeCell ref="H579:I579"/>
    <mergeCell ref="J579:K579"/>
    <mergeCell ref="J591:K591"/>
    <mergeCell ref="B591:C591"/>
    <mergeCell ref="D598:K609"/>
    <mergeCell ref="D591:E591"/>
    <mergeCell ref="F591:G591"/>
    <mergeCell ref="J580:K580"/>
    <mergeCell ref="D580:E580"/>
    <mergeCell ref="F580:G580"/>
    <mergeCell ref="H580:I580"/>
    <mergeCell ref="H584:I584"/>
    <mergeCell ref="D592:E592"/>
    <mergeCell ref="F592:G592"/>
    <mergeCell ref="J585:K585"/>
    <mergeCell ref="H591:I591"/>
    <mergeCell ref="B589:C589"/>
    <mergeCell ref="B582:C582"/>
    <mergeCell ref="B959:L959"/>
    <mergeCell ref="B960:L960"/>
    <mergeCell ref="B961:L961"/>
    <mergeCell ref="B962:L962"/>
    <mergeCell ref="B963:L963"/>
    <mergeCell ref="B969:L969"/>
    <mergeCell ref="B966:L966"/>
    <mergeCell ref="B964:L964"/>
    <mergeCell ref="B956:L957"/>
    <mergeCell ref="B958:L958"/>
    <mergeCell ref="I946:J946"/>
    <mergeCell ref="I947:J947"/>
    <mergeCell ref="D637:K648"/>
    <mergeCell ref="B637:C648"/>
    <mergeCell ref="C687:E687"/>
    <mergeCell ref="C689:E689"/>
    <mergeCell ref="K855:L855"/>
    <mergeCell ref="B856:J856"/>
    <mergeCell ref="C479:D479"/>
    <mergeCell ref="I479:K479"/>
    <mergeCell ref="C480:D480"/>
    <mergeCell ref="I480:K480"/>
    <mergeCell ref="C481:D481"/>
    <mergeCell ref="I481:K481"/>
    <mergeCell ref="C482:D482"/>
    <mergeCell ref="I482:K482"/>
    <mergeCell ref="C483:D483"/>
    <mergeCell ref="D624:K635"/>
    <mergeCell ref="B624:C635"/>
    <mergeCell ref="E521:G521"/>
    <mergeCell ref="C521:D521"/>
    <mergeCell ref="J587:K587"/>
    <mergeCell ref="J586:K586"/>
    <mergeCell ref="B584:C584"/>
    <mergeCell ref="B571:C571"/>
    <mergeCell ref="D611:K622"/>
    <mergeCell ref="E517:G517"/>
    <mergeCell ref="C468:F468"/>
    <mergeCell ref="I473:K473"/>
    <mergeCell ref="I474:K474"/>
    <mergeCell ref="I475:K475"/>
    <mergeCell ref="I497:K497"/>
    <mergeCell ref="I500:K500"/>
    <mergeCell ref="I501:K501"/>
    <mergeCell ref="G509:K509"/>
    <mergeCell ref="I498:K498"/>
    <mergeCell ref="C469:F469"/>
    <mergeCell ref="C470:F470"/>
    <mergeCell ref="C471:F471"/>
    <mergeCell ref="C472:F472"/>
    <mergeCell ref="C473:F473"/>
    <mergeCell ref="C474:F474"/>
    <mergeCell ref="C475:F475"/>
    <mergeCell ref="I499:K499"/>
    <mergeCell ref="I483:K483"/>
    <mergeCell ref="C485:D485"/>
    <mergeCell ref="C478:D478"/>
    <mergeCell ref="I478:K478"/>
    <mergeCell ref="G511:K511"/>
    <mergeCell ref="I949:J949"/>
    <mergeCell ref="I950:J950"/>
    <mergeCell ref="I951:J951"/>
    <mergeCell ref="I952:J952"/>
    <mergeCell ref="I953:J953"/>
    <mergeCell ref="D946:E946"/>
    <mergeCell ref="D947:E947"/>
    <mergeCell ref="D948:E948"/>
    <mergeCell ref="D949:E949"/>
    <mergeCell ref="D950:E950"/>
    <mergeCell ref="D951:E951"/>
    <mergeCell ref="D952:E952"/>
    <mergeCell ref="D953:E953"/>
    <mergeCell ref="F946:H946"/>
    <mergeCell ref="F947:H947"/>
    <mergeCell ref="F948:H948"/>
    <mergeCell ref="F949:H949"/>
    <mergeCell ref="F950:H950"/>
    <mergeCell ref="F951:H951"/>
    <mergeCell ref="F952:H952"/>
    <mergeCell ref="F953:H953"/>
    <mergeCell ref="C709:F710"/>
    <mergeCell ref="G709:G710"/>
    <mergeCell ref="C221:G221"/>
    <mergeCell ref="C247:G247"/>
    <mergeCell ref="C274:G274"/>
    <mergeCell ref="C300:G300"/>
    <mergeCell ref="C329:G329"/>
    <mergeCell ref="C355:G355"/>
    <mergeCell ref="C384:G384"/>
    <mergeCell ref="C684:E684"/>
    <mergeCell ref="I948:J948"/>
    <mergeCell ref="B886:E886"/>
    <mergeCell ref="B598:C609"/>
    <mergeCell ref="D564:E564"/>
    <mergeCell ref="F564:G564"/>
    <mergeCell ref="H564:I564"/>
    <mergeCell ref="J564:K564"/>
    <mergeCell ref="B590:C590"/>
    <mergeCell ref="C448:D448"/>
    <mergeCell ref="I448:K448"/>
    <mergeCell ref="C449:D449"/>
    <mergeCell ref="I449:K449"/>
    <mergeCell ref="C450:D450"/>
    <mergeCell ref="I450:K450"/>
    <mergeCell ref="C456:D456"/>
    <mergeCell ref="I456:K456"/>
    <mergeCell ref="C272:G272"/>
    <mergeCell ref="D661:H661"/>
    <mergeCell ref="E662:I662"/>
    <mergeCell ref="D667:H667"/>
    <mergeCell ref="D668:H668"/>
    <mergeCell ref="D669:H669"/>
    <mergeCell ref="D670:H670"/>
    <mergeCell ref="D658:H658"/>
    <mergeCell ref="D659:H659"/>
    <mergeCell ref="D660:H660"/>
    <mergeCell ref="I468:K468"/>
    <mergeCell ref="I469:K469"/>
    <mergeCell ref="I470:K470"/>
    <mergeCell ref="I471:K471"/>
    <mergeCell ref="I472:K472"/>
    <mergeCell ref="D568:E568"/>
    <mergeCell ref="F576:G576"/>
    <mergeCell ref="H576:I576"/>
    <mergeCell ref="C516:D516"/>
    <mergeCell ref="E516:G516"/>
    <mergeCell ref="D569:E569"/>
    <mergeCell ref="F569:G569"/>
    <mergeCell ref="C517:D517"/>
    <mergeCell ref="C519:D519"/>
    <mergeCell ref="H709:H710"/>
    <mergeCell ref="I709:I710"/>
    <mergeCell ref="J709:L709"/>
    <mergeCell ref="D671:H671"/>
    <mergeCell ref="E674:I674"/>
    <mergeCell ref="D672:H672"/>
    <mergeCell ref="D673:H673"/>
    <mergeCell ref="C681:E681"/>
    <mergeCell ref="C683:E683"/>
    <mergeCell ref="C685:E685"/>
    <mergeCell ref="C691:E691"/>
    <mergeCell ref="C686:E686"/>
    <mergeCell ref="C690:E690"/>
    <mergeCell ref="C682:E682"/>
  </mergeCells>
  <phoneticPr fontId="3" type="noConversion"/>
  <conditionalFormatting sqref="L29 L26 L23 L20">
    <cfRule type="cellIs" dxfId="63" priority="124" stopIfTrue="1" operator="equal">
      <formula>0</formula>
    </cfRule>
  </conditionalFormatting>
  <conditionalFormatting sqref="L11 L15">
    <cfRule type="expression" dxfId="62" priority="135" stopIfTrue="1">
      <formula>ISERROR(L11)</formula>
    </cfRule>
  </conditionalFormatting>
  <conditionalFormatting sqref="K3">
    <cfRule type="cellIs" dxfId="61" priority="74" operator="equal">
      <formula>""</formula>
    </cfRule>
  </conditionalFormatting>
  <conditionalFormatting sqref="D11:K11">
    <cfRule type="cellIs" dxfId="60" priority="73" operator="equal">
      <formula>""</formula>
    </cfRule>
  </conditionalFormatting>
  <conditionalFormatting sqref="D15:K15">
    <cfRule type="cellIs" dxfId="59" priority="72" operator="equal">
      <formula>""</formula>
    </cfRule>
  </conditionalFormatting>
  <conditionalFormatting sqref="D20:K20">
    <cfRule type="cellIs" dxfId="58" priority="71" operator="equal">
      <formula>""</formula>
    </cfRule>
  </conditionalFormatting>
  <conditionalFormatting sqref="K693">
    <cfRule type="cellIs" dxfId="57" priority="70" operator="greaterThan">
      <formula>$K$694</formula>
    </cfRule>
  </conditionalFormatting>
  <conditionalFormatting sqref="K689">
    <cfRule type="cellIs" dxfId="56" priority="69" operator="notBetween">
      <formula>$K$695</formula>
      <formula>$K$696</formula>
    </cfRule>
  </conditionalFormatting>
  <conditionalFormatting sqref="K685">
    <cfRule type="cellIs" dxfId="55" priority="68" operator="greaterThan">
      <formula>$K$697</formula>
    </cfRule>
  </conditionalFormatting>
  <conditionalFormatting sqref="K692">
    <cfRule type="cellIs" dxfId="54" priority="67" operator="greaterThan">
      <formula>0.15</formula>
    </cfRule>
  </conditionalFormatting>
  <conditionalFormatting sqref="D66:K67">
    <cfRule type="cellIs" dxfId="53" priority="66" operator="equal">
      <formula>""</formula>
    </cfRule>
  </conditionalFormatting>
  <conditionalFormatting sqref="G71:K71">
    <cfRule type="expression" dxfId="52" priority="45">
      <formula>AND(sector="",sector_specified&lt;&gt;"")</formula>
    </cfRule>
    <cfRule type="cellIs" dxfId="51" priority="65"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2:G272">
    <cfRule type="expression" dxfId="40" priority="40">
      <formula>AND(LEN($C$247)&gt;0,COUNTIF($D$20:$D$29,output_relates_activity2)=0)</formula>
    </cfRule>
    <cfRule type="expression" dxfId="39" priority="41">
      <formula>AND($C269&lt;&gt;"",$C272="")</formula>
    </cfRule>
  </conditionalFormatting>
  <conditionalFormatting sqref="C274:G274">
    <cfRule type="expression" dxfId="38" priority="38">
      <formula>AND(LEN($C$274)&gt;0,COUNTIF($D$20:$D$29,output_relates_activity3)=0)</formula>
    </cfRule>
    <cfRule type="expression" dxfId="37" priority="39">
      <formula>AND($C271&lt;&gt;"",$C274="")</formula>
    </cfRule>
  </conditionalFormatting>
  <conditionalFormatting sqref="C300:G300">
    <cfRule type="expression" dxfId="36" priority="36">
      <formula>AND(LEN($C$300)&gt;0,COUNTIF($D$20:$D$29,output_relates_activity4)=0)</formula>
    </cfRule>
    <cfRule type="expression" dxfId="35" priority="37">
      <formula>AND($C297&lt;&gt;"",$C300="")</formula>
    </cfRule>
  </conditionalFormatting>
  <conditionalFormatting sqref="C329:G329">
    <cfRule type="expression" dxfId="34" priority="34">
      <formula>AND(LEN($C$326)&gt;0,COUNTIF($D$20:$D$29,output_relates_activity5)=0)</formula>
    </cfRule>
    <cfRule type="expression" dxfId="33" priority="35">
      <formula>AND($C326&lt;&gt;"",$C329="")</formula>
    </cfRule>
  </conditionalFormatting>
  <conditionalFormatting sqref="C355:G355">
    <cfRule type="expression" dxfId="32" priority="32">
      <formula>AND(LEN($C$355)&gt;0,COUNTIF($D$20:$D$29,output_relates_activity6)=0)</formula>
    </cfRule>
    <cfRule type="expression" dxfId="31" priority="33">
      <formula>AND($C352&lt;&gt;"",$C355="")</formula>
    </cfRule>
  </conditionalFormatting>
  <conditionalFormatting sqref="C384:G384">
    <cfRule type="expression" dxfId="30" priority="30">
      <formula>AND(LEN($C$384)&gt;0,COUNTIF($D$20:$D$29,output_relates_activity7)=0)</formula>
    </cfRule>
    <cfRule type="expression" dxfId="29" priority="31">
      <formula>AND($C381&lt;&gt;"",$C384="")</formula>
    </cfRule>
  </conditionalFormatting>
  <conditionalFormatting sqref="C410:G410">
    <cfRule type="expression" dxfId="28" priority="28">
      <formula>AND(LEN($C$410)&gt;0,COUNTIF($D$20:$D$29,output_relates_activity8)=0)</formula>
    </cfRule>
    <cfRule type="expression" dxfId="27" priority="29">
      <formula>AND($C407&lt;&gt;"",$C410="")</formula>
    </cfRule>
  </conditionalFormatting>
  <conditionalFormatting sqref="F686">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89:E589">
    <cfRule type="expression" dxfId="24" priority="18">
      <formula>$D$565=""</formula>
    </cfRule>
  </conditionalFormatting>
  <conditionalFormatting sqref="D590:E590">
    <cfRule type="expression" dxfId="23" priority="17">
      <formula>$D$565=""</formula>
    </cfRule>
  </conditionalFormatting>
  <conditionalFormatting sqref="F589:G589">
    <cfRule type="expression" dxfId="22" priority="16">
      <formula>$F$565=""</formula>
    </cfRule>
  </conditionalFormatting>
  <conditionalFormatting sqref="F590:G590">
    <cfRule type="expression" dxfId="21" priority="15">
      <formula>$F$565=""</formula>
    </cfRule>
  </conditionalFormatting>
  <conditionalFormatting sqref="H589:I589">
    <cfRule type="expression" dxfId="20" priority="14">
      <formula>$H$565=""</formula>
    </cfRule>
  </conditionalFormatting>
  <conditionalFormatting sqref="H590:I590">
    <cfRule type="expression" dxfId="19" priority="13">
      <formula>$H$565=""</formula>
    </cfRule>
  </conditionalFormatting>
  <conditionalFormatting sqref="J589:K589">
    <cfRule type="expression" dxfId="18" priority="12">
      <formula>$J$565=""</formula>
    </cfRule>
  </conditionalFormatting>
  <conditionalFormatting sqref="J590:K590">
    <cfRule type="expression" dxfId="17" priority="11">
      <formula>$J$565=""</formula>
    </cfRule>
  </conditionalFormatting>
  <conditionalFormatting sqref="D591:E591">
    <cfRule type="expression" dxfId="16" priority="10">
      <formula>AND(grant_requested_partner1&gt;0,$D$591="")</formula>
    </cfRule>
  </conditionalFormatting>
  <conditionalFormatting sqref="F591:G591">
    <cfRule type="expression" dxfId="15" priority="9">
      <formula>AND(grant_requested_partner2&gt;0,$F$591="")</formula>
    </cfRule>
  </conditionalFormatting>
  <conditionalFormatting sqref="H591:I591">
    <cfRule type="expression" dxfId="14" priority="8">
      <formula>AND(grant_requested_partner3&gt;0,$H$591="")</formula>
    </cfRule>
  </conditionalFormatting>
  <conditionalFormatting sqref="J591:K591">
    <cfRule type="expression" dxfId="13" priority="7">
      <formula>AND(grant_requested_partner4&gt;0,$J$591="")</formula>
    </cfRule>
  </conditionalFormatting>
  <conditionalFormatting sqref="G686">
    <cfRule type="expression" dxfId="12" priority="5">
      <formula>AND(sector=nonprofit_sector_verification_title,sector_specified&lt;&gt;churches_verification_title,partner1_sector=nonprofit_sector_verification_title,partner1_sector_specified&lt;&gt;churches_verification_title,INT(G686)=G686)</formula>
    </cfRule>
  </conditionalFormatting>
  <conditionalFormatting sqref="H686">
    <cfRule type="expression" dxfId="11" priority="3">
      <formula>AND(sector=nonprofit_sector_verification_title,sector_specified&lt;&gt;churches_verification_title,partner2_sector=nonprofit_sector_verification_title,partner2_sector_specified&lt;&gt;churches_verification_title,INT(G686)=G686)</formula>
    </cfRule>
  </conditionalFormatting>
  <conditionalFormatting sqref="I686">
    <cfRule type="expression" dxfId="10" priority="2">
      <formula>AND(sector=nonprofit_sector_verification_title,sector_specified&lt;&gt;churches_verification_title,partner3_sector=nonprofit_sector_verification_title,partner3_sector_specified&lt;&gt;churches_verification_title,INT(H686)=H686)</formula>
    </cfRule>
  </conditionalFormatting>
  <conditionalFormatting sqref="J686">
    <cfRule type="expression" dxfId="9" priority="1">
      <formula>AND(sector=nonprofit_sector_verification_title,sector_specified&lt;&gt;churches_verification_title,partner4_sector=nonprofit_sector_verification_title,partner4_sector_specified&lt;&gt;churches_verification_title,INT(I686)=I686)</formula>
    </cfRule>
  </conditionalFormatting>
  <dataValidations count="84">
    <dataValidation type="textLength" allowBlank="1" showInputMessage="1" showErrorMessage="1" sqref="C857:C869 C910 C875:C878 C159 C560:C561 D165:D210 C786:C800 C771:C784 C756:C769 D217 D223:D240 D243 D249:D265 D276 D270 D278:D294 D304:D320 D302 D296 D331 D325 D333:D349 D357 D351 D380 D386 D406 D412 C803:C839 C930:C941 D220 D246 D273 D299 D328 D354 D383 D409 D359:D375 D388:D404 D414:D431">
      <formula1>0</formula1>
      <formula2>1024</formula2>
    </dataValidation>
    <dataValidation type="list" allowBlank="1" showInputMessage="1" showErrorMessage="1" sqref="J874:K874">
      <formula1>"áno,nie"</formula1>
    </dataValidation>
    <dataValidation type="list" showInputMessage="1" showErrorMessage="1" sqref="K852:L856">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4:K506 I508:K508 I510:K510">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7:K507">
      <formula1>research_types</formula1>
    </dataValidation>
    <dataValidation type="list" showInputMessage="1" showErrorMessage="1" sqref="I497:K503">
      <formula1>"primárne opatrenie,sekundárne opatrenie"</formula1>
    </dataValidation>
    <dataValidation type="list" showInputMessage="1" showErrorMessage="1" sqref="J873:K873 K914:L922 L946:L953 D589:K590">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8:E568">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"Pán, Pani"</formula1>
    </dataValidation>
    <dataValidation type="list" showInputMessage="1" showErrorMessage="1" sqref="C494">
      <formula1>IF(project_sector_specified&lt;&gt;"",INDIRECT("fake_range"),project_sectors)</formula1>
    </dataValidation>
    <dataValidation type="list" allowBlank="1" showInputMessage="1" showErrorMessage="1" sqref="E455 E477 E467 E465 E451:E452">
      <formula1>indicator_type</formula1>
    </dataValidation>
    <dataValidation type="list" allowBlank="1" showInputMessage="1" showErrorMessage="1" sqref="F455 F477 F467 F465 F451:F452">
      <formula1>"indicator_level"</formula1>
    </dataValidation>
    <dataValidation type="list" showInputMessage="1" showErrorMessage="1" sqref="D569:E569">
      <formula1>INDIRECT(VLOOKUP(partner1_sector,sector_table,3,FALSE))</formula1>
    </dataValidation>
    <dataValidation type="list" showInputMessage="1" showErrorMessage="1" sqref="F569:G569">
      <formula1>INDIRECT(VLOOKUP(partner2_sector,sector_table,3,FALSE))</formula1>
    </dataValidation>
    <dataValidation type="list" showInputMessage="1" showErrorMessage="1" sqref="H569:I569">
      <formula1>INDIRECT(VLOOKUP(partner3_sector,sector_table,3,FALSE))</formula1>
    </dataValidation>
    <dataValidation type="list" showInputMessage="1" showErrorMessage="1" sqref="J569:K569">
      <formula1>INDIRECT(VLOOKUP(partner4_sector,sector_table,3,FALSE))</formula1>
    </dataValidation>
    <dataValidation type="list" showInputMessage="1" showErrorMessage="1" sqref="D571:E571">
      <formula1>INDIRECT(VLOOKUP(partner1_sector,sector_table,2,FALSE))</formula1>
    </dataValidation>
    <dataValidation type="list" showInputMessage="1" showErrorMessage="1" sqref="F571:G571">
      <formula1>INDIRECT(VLOOKUP(partner2_sector,sector_table,2,FALSE))</formula1>
    </dataValidation>
    <dataValidation type="list" showInputMessage="1" showErrorMessage="1" sqref="H571:I571">
      <formula1>INDIRECT(VLOOKUP(partner3_sector,sector_table,2,FALSE))</formula1>
    </dataValidation>
    <dataValidation type="list" showInputMessage="1" showErrorMessage="1" sqref="J571:K571">
      <formula1>INDIRECT(VLOOKUP(partner4_sector,sector_table,2,FALSE))</formula1>
    </dataValidation>
    <dataValidation type="list" showInputMessage="1" showErrorMessage="1" sqref="F984 J984">
      <formula1>"2019,2020,2021,2022,2023"</formula1>
    </dataValidation>
    <dataValidation type="list" showInputMessage="1" showErrorMessage="1" errorTitle="Nesprávne zadanie" error="Zadajte číslo od 1 do 12_x000a_" sqref="E984 I984">
      <formula1>"1,2,3,4,5,6,7,8,9,10,11,12"</formula1>
    </dataValidation>
    <dataValidation type="list" showInputMessage="1" showErrorMessage="1" errorTitle="Nesprávne zadanie" error="Zadajte hodnotu od 1 do 31" sqref="H984 D984">
      <formula1>"1,2,3,4,5,6,7,8,9,10,11,12,13,14,15,16,17,18,19,20,21,22,23,24,25,26,27,28,29,30,31"</formula1>
    </dataValidation>
    <dataValidation type="list" showInputMessage="1" showErrorMessage="1" sqref="C517:D517">
      <formula1>IF($E$517&lt;&gt;"",INDIRECT("fake_range"),Target_Group_List)</formula1>
    </dataValidation>
    <dataValidation type="list" showInputMessage="1" showErrorMessage="1" sqref="C455:D455 C465:D465 C477:D477 C467:D467 C437:D452">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8:K578">
      <formula1>Countries</formula1>
    </dataValidation>
    <dataValidation type="list" showInputMessage="1" showErrorMessage="1" sqref="D591:K591">
      <formula1>Types_Of_Financing</formula1>
    </dataValidation>
    <dataValidation type="list" showInputMessage="1" showErrorMessage="1" sqref="D592:K592">
      <formula1>partnership_status</formula1>
    </dataValidation>
    <dataValidation type="list" showInputMessage="1" showErrorMessage="1" sqref="E517:G517">
      <formula1>INDIRECT(VLOOKUP(TG_category1,target_groups_table,2,FALSE))</formula1>
    </dataValidation>
    <dataValidation type="list" showInputMessage="1" showErrorMessage="1" sqref="E519:G519">
      <formula1>INDIRECT(VLOOKUP(TG_category2,target_groups_table,2,FALSE))</formula1>
    </dataValidation>
    <dataValidation type="list" showInputMessage="1" showErrorMessage="1" sqref="E521:G521">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3:E849">
      <formula1>risk_type</formula1>
    </dataValidation>
    <dataValidation type="list" showInputMessage="1" showErrorMessage="1" sqref="F843:F849">
      <formula1>risk_likelihood</formula1>
    </dataValidation>
    <dataValidation type="list" showInputMessage="1" showErrorMessage="1" sqref="G843:G849">
      <formula1>risk_impact</formula1>
    </dataValidation>
    <dataValidation type="list" showInputMessage="1" showErrorMessage="1" sqref="I843:I849">
      <formula1>risk_response</formula1>
    </dataValidation>
    <dataValidation type="list" allowBlank="1" showInputMessage="1" showErrorMessage="1" sqref="J751:K751">
      <formula1>milestones_expected_dates</formula1>
    </dataValidation>
    <dataValidation type="list" allowBlank="1" showInputMessage="1" showErrorMessage="1" sqref="K3">
      <formula1>call_codes</formula1>
    </dataValidation>
    <dataValidation type="list" showInputMessage="1" showErrorMessage="1" sqref="F684:J684">
      <formula1>indirect_costs_methods</formula1>
    </dataValidation>
    <dataValidation type="list" showInputMessage="1" showErrorMessage="1" sqref="G509:K509">
      <formula1>IF(academic_discipline&lt;&gt;"",INDIRECT("fake_range"),academic_fields)</formula1>
    </dataValidation>
    <dataValidation type="list" showInputMessage="1" showErrorMessage="1" sqref="G511:K511">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7:D464">
      <formula1>INDIRECT("indicators_"&amp;programme_abbreviation&amp;"_OTCB")</formula1>
    </dataValidation>
    <dataValidation type="whole" allowBlank="1" showInputMessage="1" showErrorMessage="1" errorTitle="Invalid Entry/Nesprávne zadanie" error="Only integers allowed._x000a_Povolené sú len celé čísla." sqref="F685:J685 F687:J688">
      <formula1>0</formula1>
      <formula2>10000000</formula2>
    </dataValidation>
    <dataValidation type="list" allowBlank="1" showInputMessage="1" showErrorMessage="1" sqref="G751">
      <formula1>Activities_Validation_List</formula1>
    </dataValidation>
    <dataValidation type="list" allowBlank="1" showInputMessage="1" showErrorMessage="1" sqref="H751">
      <formula1>milestones_classification</formula1>
    </dataValidation>
    <dataValidation type="list" allowBlank="1" showInputMessage="1" showErrorMessage="1" sqref="I751">
      <formula1>milestones_importance</formula1>
    </dataValidation>
    <dataValidation type="list" showInputMessage="1" showErrorMessage="1" sqref="D20:K20 D23:K23 D26:K26 D29:K29 C221:G221 C247:G247 C274:G274 C300:G300 C329:G329 C355:G355 C384:G384 C410:G410">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4:I494">
      <formula1>INDIRECT(VLOOKUP(project_sector,project_sectors_table,2,FALSE))</formula1>
    </dataValidation>
    <dataValidation type="list" showInputMessage="1" showErrorMessage="1" sqref="C521:D521">
      <formula1>IF($E$521&lt;&gt;"",INDIRECT("fake_range"),Target_Group_List)</formula1>
    </dataValidation>
    <dataValidation type="list" showInputMessage="1" showErrorMessage="1" sqref="C519:D519">
      <formula1>IF($E$519&lt;&gt;"",INDIRECT("fake_range"),Target_Group_List)</formula1>
    </dataValidation>
    <dataValidation showInputMessage="1" showErrorMessage="1" sqref="C518 C520 L711:L750"/>
    <dataValidation type="list" showInputMessage="1" showErrorMessage="1" sqref="F568:G568">
      <formula1>IF(OR(partner2_sector_specified&lt;&gt;"",partner2_sector_fmo_specified&lt;&gt;""),INDIRECT("fake_range"),sectors)</formula1>
    </dataValidation>
    <dataValidation type="list" showInputMessage="1" showErrorMessage="1" sqref="H568:I568">
      <formula1>IF(OR(partner3_sector_specified&lt;&gt;"",partner3_sector_fmo_specified&lt;&gt;""),INDIRECT("fake_range"),sectors)</formula1>
    </dataValidation>
    <dataValidation type="list" showInputMessage="1" showErrorMessage="1" sqref="J568:K568">
      <formula1>IF(OR(partner4_sector_specified&lt;&gt;"",partner4_sector_fmo_specified&lt;&gt;""),INDIRECT("fake_range"),sectors)</formula1>
    </dataValidation>
    <dataValidation type="list" showInputMessage="1" showErrorMessage="1" sqref="I658:I661 I667:I673">
      <formula1>yes_question</formula1>
    </dataValidation>
    <dataValidation type="list" showInputMessage="1" showErrorMessage="1" sqref="G711:G750">
      <formula1>Activities_Validation_List</formula1>
    </dataValidation>
    <dataValidation type="list" showInputMessage="1" showErrorMessage="1" sqref="H711:H750">
      <formula1>milestones_classification</formula1>
    </dataValidation>
    <dataValidation type="list" showInputMessage="1" showErrorMessage="1" sqref="I711:I750">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6">
      <formula1>AND(sector=nonprofit_sector_verification_title,sector_specified&lt;&gt;churches_verification_title,INT(F686)=F686)</formula1>
    </dataValidation>
    <dataValidation type="list" allowBlank="1" showInputMessage="1" showErrorMessage="1" sqref="J707">
      <formula1>project_implementation_duration_list</formula1>
    </dataValidation>
    <dataValidation type="list" showInputMessage="1" showErrorMessage="1" sqref="K711:K750">
      <formula1>milestones_completion_dates</formula1>
    </dataValidation>
    <dataValidation type="list" showInputMessage="1" showErrorMessage="1" sqref="J711:J750">
      <formula1>IF(K711&lt;&gt;"",INDIRECT("fake_range"),milestones_start_dates)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6">
      <formula1>AND(sector=nonprofit_sector_verification_title,sector_specified&lt;&gt;churches_verification_title,partner1_sector=nonprofit_sector_verification_title,partner1_sector_specified&lt;&gt;churches_verification_title,INT(G686)=G686)</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6">
      <formula1>AND(sector=nonprofit_sector_verification_title,sector_specified&lt;&gt;churches_verification_title,partner2_sector=nonprofit_sector_verification_title,partner2_sector_specified&lt;&gt;churches_verification_title,INT(H686)=H686)</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6">
      <formula1>AND(sector=nonprofit_sector_verification_title,sector_specified&lt;&gt;churches_verification_title,partner3_sector=nonprofit_sector_verification_title,partner3_sector_specified&lt;&gt;churches_verification_title,INT(I686)=I686)</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6">
      <formula1>AND(sector=nonprofit_sector_verification_title,sector_specified&lt;&gt;churches_verification_title,partner4_sector=nonprofit_sector_verification_title,partner4_sector_specified&lt;&gt;churches_verification_title,INT(J686)=J686)</formula1>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&amp;L&amp;G&amp;C&amp;"Arial,Tučné"FORMULÁR ŽIADOSTI O PROJEKT</oddHeader>
    <oddFooter>&amp;CStrana &amp;P/&amp;N&amp;R&amp;F</oddFooter>
  </headerFooter>
  <rowBreaks count="25" manualBreakCount="25">
    <brk id="62" min="1" max="11" man="1"/>
    <brk id="118" max="16383" man="1"/>
    <brk id="162" min="1" max="11" man="1"/>
    <brk id="213" max="16383" man="1"/>
    <brk id="267" max="16383" man="1"/>
    <brk id="323" max="16383" man="1"/>
    <brk id="377" max="16383" man="1"/>
    <brk id="432" max="16383" man="1"/>
    <brk id="452" max="16383" man="1"/>
    <brk id="465" max="16383" man="1"/>
    <brk id="486" max="16383" man="1"/>
    <brk id="533" max="16383" man="1"/>
    <brk id="561" max="16383" man="1"/>
    <brk id="594" max="16383" man="1"/>
    <brk id="650" max="16383" man="1"/>
    <brk id="676" max="16383" man="1"/>
    <brk id="703" max="16383" man="1"/>
    <brk id="753" min="1" max="11" man="1"/>
    <brk id="801" max="16383" man="1"/>
    <brk id="840" min="1" max="11" man="1"/>
    <brk id="849" min="1" max="11" man="1"/>
    <brk id="868" max="16383" man="1"/>
    <brk id="910" max="16383" man="1"/>
    <brk id="941" max="16383" man="1"/>
    <brk id="954"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703</xdr:row>
                <xdr:rowOff>0</xdr:rowOff>
              </from>
              <to>
                <xdr:col>11</xdr:col>
                <xdr:colOff>161925</xdr:colOff>
                <xdr:row>703</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G10" sqref="G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0" customWidth="1"/>
    <col min="11" max="11" width="31.5703125" style="195" customWidth="1"/>
    <col min="12" max="12" width="26.5703125" style="15" customWidth="1"/>
    <col min="13" max="13" width="9.42578125" style="15" bestFit="1" customWidth="1"/>
    <col min="14" max="16384" width="9.140625" style="15"/>
  </cols>
  <sheetData>
    <row r="1" spans="1:16" s="272" customFormat="1" ht="21" customHeight="1" x14ac:dyDescent="0.2">
      <c r="B1" s="278" t="s">
        <v>1345</v>
      </c>
      <c r="C1" s="277"/>
      <c r="D1" s="277"/>
      <c r="E1" s="277"/>
      <c r="F1" s="277"/>
      <c r="G1" s="277"/>
      <c r="H1" s="277"/>
      <c r="I1" s="277"/>
      <c r="J1" s="277"/>
      <c r="K1" s="277"/>
      <c r="L1" s="276"/>
      <c r="M1" s="276"/>
      <c r="N1" s="276"/>
      <c r="O1" s="276"/>
      <c r="P1" s="276"/>
    </row>
    <row r="2" spans="1:16" s="275" customFormat="1" ht="9.75" customHeight="1" x14ac:dyDescent="0.2">
      <c r="A2" s="343"/>
      <c r="B2" s="344" t="s">
        <v>1344</v>
      </c>
      <c r="C2" s="345">
        <f>applicant_name</f>
        <v>0</v>
      </c>
      <c r="D2" s="344"/>
      <c r="E2" s="344"/>
      <c r="F2" s="344"/>
      <c r="G2" s="346"/>
      <c r="H2" s="345"/>
      <c r="I2" s="345" t="s">
        <v>1346</v>
      </c>
      <c r="J2" s="347">
        <f>SUM(Amount_Column)</f>
        <v>0</v>
      </c>
      <c r="K2" s="354"/>
      <c r="L2" s="274"/>
      <c r="M2" s="274"/>
      <c r="N2" s="274"/>
      <c r="O2" s="274"/>
      <c r="P2" s="274"/>
    </row>
    <row r="3" spans="1:16" s="275" customFormat="1" ht="9.75" customHeight="1" x14ac:dyDescent="0.2">
      <c r="A3" s="348"/>
      <c r="B3" s="273" t="s">
        <v>475</v>
      </c>
      <c r="C3" s="275">
        <f>partner1_name</f>
        <v>0</v>
      </c>
      <c r="D3" s="273"/>
      <c r="E3" s="273"/>
      <c r="F3" s="273"/>
      <c r="H3" s="274"/>
      <c r="I3" s="274" t="s">
        <v>1347</v>
      </c>
      <c r="J3" s="342">
        <f>amount_indirect_costs</f>
        <v>0</v>
      </c>
      <c r="K3" s="355"/>
      <c r="L3" s="274"/>
      <c r="M3" s="274"/>
      <c r="N3" s="274"/>
      <c r="O3" s="274"/>
      <c r="P3" s="274"/>
    </row>
    <row r="4" spans="1:16" s="275" customFormat="1" ht="9.75" customHeight="1" x14ac:dyDescent="0.2">
      <c r="A4" s="348"/>
      <c r="B4" s="273" t="s">
        <v>474</v>
      </c>
      <c r="C4" s="275">
        <f>partner2_name</f>
        <v>0</v>
      </c>
      <c r="D4" s="273"/>
      <c r="E4" s="273"/>
      <c r="F4" s="273"/>
      <c r="H4" s="274"/>
      <c r="I4" s="274" t="s">
        <v>1348</v>
      </c>
      <c r="J4" s="342">
        <f>reserve_total</f>
        <v>0</v>
      </c>
      <c r="K4" s="355"/>
      <c r="L4" s="274"/>
      <c r="M4" s="274"/>
      <c r="N4" s="274"/>
      <c r="O4" s="274"/>
      <c r="P4" s="274"/>
    </row>
    <row r="5" spans="1:16" s="275" customFormat="1" ht="9.75" customHeight="1" x14ac:dyDescent="0.2">
      <c r="A5" s="348"/>
      <c r="B5" s="273" t="s">
        <v>473</v>
      </c>
      <c r="C5" s="275">
        <f>partner3_name</f>
        <v>0</v>
      </c>
      <c r="D5" s="273"/>
      <c r="E5" s="273"/>
      <c r="F5" s="273"/>
      <c r="H5" s="274"/>
      <c r="I5" s="274" t="s">
        <v>1349</v>
      </c>
      <c r="J5" s="342">
        <f>in_kind_total</f>
        <v>0</v>
      </c>
      <c r="K5" s="355"/>
      <c r="L5" s="274"/>
      <c r="M5" s="274"/>
      <c r="N5" s="274"/>
      <c r="O5" s="274"/>
      <c r="P5" s="274"/>
    </row>
    <row r="6" spans="1:16" s="275" customFormat="1" ht="9.75" customHeight="1" x14ac:dyDescent="0.2">
      <c r="A6" s="349"/>
      <c r="B6" s="350" t="s">
        <v>472</v>
      </c>
      <c r="C6" s="275">
        <f>partner4_name</f>
        <v>0</v>
      </c>
      <c r="D6" s="350"/>
      <c r="E6" s="350"/>
      <c r="F6" s="350"/>
      <c r="G6" s="352"/>
      <c r="H6" s="351"/>
      <c r="I6" s="351" t="s">
        <v>1350</v>
      </c>
      <c r="J6" s="353">
        <f>SUM(J2:J5)</f>
        <v>0</v>
      </c>
      <c r="K6" s="356"/>
      <c r="L6" s="274"/>
      <c r="M6" s="274"/>
      <c r="N6" s="274"/>
      <c r="O6" s="274"/>
      <c r="P6" s="274"/>
    </row>
    <row r="7" spans="1:16" s="275" customFormat="1" ht="15" customHeight="1" x14ac:dyDescent="0.2">
      <c r="C7" s="346"/>
      <c r="D7" s="273"/>
      <c r="E7" s="273"/>
      <c r="F7" s="273"/>
      <c r="H7" s="274"/>
      <c r="I7" s="274"/>
      <c r="J7" s="279"/>
      <c r="K7" s="274"/>
      <c r="L7" s="274"/>
      <c r="M7" s="274"/>
      <c r="N7" s="274"/>
      <c r="O7" s="274"/>
      <c r="P7" s="274"/>
    </row>
    <row r="8" spans="1:16" s="275" customFormat="1" ht="4.5" customHeight="1" x14ac:dyDescent="0.2">
      <c r="B8" s="273"/>
      <c r="C8" s="274"/>
      <c r="D8" s="273"/>
      <c r="E8" s="273"/>
      <c r="F8" s="273"/>
      <c r="H8" s="274"/>
      <c r="I8" s="274"/>
      <c r="J8" s="279"/>
      <c r="K8" s="274"/>
      <c r="L8" s="274"/>
      <c r="M8" s="274"/>
      <c r="N8" s="274"/>
      <c r="O8" s="274"/>
      <c r="P8" s="274"/>
    </row>
    <row r="9" spans="1:16" ht="33.75" x14ac:dyDescent="0.2">
      <c r="A9" s="194"/>
      <c r="B9" s="196" t="s">
        <v>1351</v>
      </c>
      <c r="C9" s="197" t="s">
        <v>1352</v>
      </c>
      <c r="D9" s="197" t="s">
        <v>1353</v>
      </c>
      <c r="E9" s="197" t="s">
        <v>1354</v>
      </c>
      <c r="F9" s="197" t="s">
        <v>1355</v>
      </c>
      <c r="G9" s="197" t="s">
        <v>1402</v>
      </c>
      <c r="H9" s="197" t="s">
        <v>1356</v>
      </c>
      <c r="I9" s="197" t="s">
        <v>1357</v>
      </c>
      <c r="J9" s="197" t="s">
        <v>1438</v>
      </c>
      <c r="K9" s="197" t="s">
        <v>1319</v>
      </c>
      <c r="L9" s="443" t="s">
        <v>1358</v>
      </c>
    </row>
    <row r="10" spans="1:16" x14ac:dyDescent="0.2">
      <c r="A10" s="198">
        <v>1</v>
      </c>
      <c r="B10" s="281"/>
      <c r="C10" s="282"/>
      <c r="D10" s="282"/>
      <c r="E10" s="282"/>
      <c r="F10" s="341">
        <f>D10*E10</f>
        <v>0</v>
      </c>
      <c r="G10" s="282"/>
      <c r="H10" s="281"/>
      <c r="I10" s="282"/>
      <c r="J10" s="282"/>
      <c r="K10" s="282"/>
      <c r="L10" s="15" t="str">
        <f t="shared" ref="L10:L41" si="0">IF(H10="","",IF(COUNTIF(list_of_activities_filtered,H10)=0,"Activity not defined!/Aktivita nie je definovaná",VLOOKUP(H10,list_of_activities_table,2,FALSE)))</f>
        <v/>
      </c>
    </row>
    <row r="11" spans="1:16" x14ac:dyDescent="0.2">
      <c r="A11" s="198">
        <v>2</v>
      </c>
      <c r="B11" s="281"/>
      <c r="C11" s="282"/>
      <c r="D11" s="282"/>
      <c r="E11" s="282"/>
      <c r="F11" s="341">
        <f t="shared" ref="F11:F74" si="1">D11*E11</f>
        <v>0</v>
      </c>
      <c r="G11" s="282"/>
      <c r="H11" s="281"/>
      <c r="I11" s="282"/>
      <c r="J11" s="282"/>
      <c r="K11" s="282"/>
      <c r="L11" s="15" t="str">
        <f t="shared" si="0"/>
        <v/>
      </c>
    </row>
    <row r="12" spans="1:16" x14ac:dyDescent="0.2">
      <c r="A12" s="198">
        <v>3</v>
      </c>
      <c r="B12" s="281"/>
      <c r="C12" s="282"/>
      <c r="D12" s="282"/>
      <c r="E12" s="282"/>
      <c r="F12" s="341">
        <f t="shared" si="1"/>
        <v>0</v>
      </c>
      <c r="G12" s="282"/>
      <c r="H12" s="281"/>
      <c r="I12" s="282"/>
      <c r="J12" s="282"/>
      <c r="K12" s="282"/>
      <c r="L12" s="15" t="str">
        <f t="shared" si="0"/>
        <v/>
      </c>
    </row>
    <row r="13" spans="1:16" x14ac:dyDescent="0.2">
      <c r="A13" s="198">
        <v>4</v>
      </c>
      <c r="B13" s="281"/>
      <c r="C13" s="282"/>
      <c r="D13" s="282"/>
      <c r="E13" s="282"/>
      <c r="F13" s="341">
        <f t="shared" si="1"/>
        <v>0</v>
      </c>
      <c r="G13" s="282"/>
      <c r="H13" s="281"/>
      <c r="I13" s="282"/>
      <c r="J13" s="282"/>
      <c r="K13" s="282"/>
      <c r="L13" s="15" t="str">
        <f t="shared" si="0"/>
        <v/>
      </c>
    </row>
    <row r="14" spans="1:16" x14ac:dyDescent="0.2">
      <c r="A14" s="198">
        <v>5</v>
      </c>
      <c r="B14" s="281"/>
      <c r="C14" s="282"/>
      <c r="D14" s="282"/>
      <c r="E14" s="282"/>
      <c r="F14" s="341">
        <f t="shared" si="1"/>
        <v>0</v>
      </c>
      <c r="G14" s="282"/>
      <c r="H14" s="281"/>
      <c r="I14" s="282"/>
      <c r="J14" s="282"/>
      <c r="K14" s="282"/>
      <c r="L14" s="15" t="str">
        <f t="shared" si="0"/>
        <v/>
      </c>
    </row>
    <row r="15" spans="1:16" x14ac:dyDescent="0.2">
      <c r="A15" s="198">
        <v>6</v>
      </c>
      <c r="B15" s="281"/>
      <c r="C15" s="282"/>
      <c r="D15" s="282"/>
      <c r="E15" s="282"/>
      <c r="F15" s="341">
        <f t="shared" si="1"/>
        <v>0</v>
      </c>
      <c r="G15" s="282"/>
      <c r="H15" s="281"/>
      <c r="I15" s="282"/>
      <c r="J15" s="282"/>
      <c r="K15" s="282"/>
      <c r="L15" s="15" t="str">
        <f t="shared" si="0"/>
        <v/>
      </c>
    </row>
    <row r="16" spans="1:16" x14ac:dyDescent="0.2">
      <c r="A16" s="198">
        <v>7</v>
      </c>
      <c r="B16" s="281"/>
      <c r="C16" s="282"/>
      <c r="D16" s="282"/>
      <c r="E16" s="282"/>
      <c r="F16" s="341">
        <f t="shared" si="1"/>
        <v>0</v>
      </c>
      <c r="G16" s="282"/>
      <c r="H16" s="281"/>
      <c r="I16" s="282"/>
      <c r="J16" s="282"/>
      <c r="K16" s="282"/>
      <c r="L16" s="15" t="str">
        <f t="shared" si="0"/>
        <v/>
      </c>
    </row>
    <row r="17" spans="1:12" x14ac:dyDescent="0.2">
      <c r="A17" s="198">
        <v>8</v>
      </c>
      <c r="B17" s="281"/>
      <c r="C17" s="282"/>
      <c r="D17" s="282"/>
      <c r="E17" s="282"/>
      <c r="F17" s="341">
        <f t="shared" si="1"/>
        <v>0</v>
      </c>
      <c r="G17" s="282"/>
      <c r="H17" s="281"/>
      <c r="I17" s="282"/>
      <c r="J17" s="282"/>
      <c r="K17" s="282"/>
      <c r="L17" s="15" t="str">
        <f t="shared" si="0"/>
        <v/>
      </c>
    </row>
    <row r="18" spans="1:12" x14ac:dyDescent="0.2">
      <c r="A18" s="198">
        <v>9</v>
      </c>
      <c r="B18" s="281"/>
      <c r="C18" s="282"/>
      <c r="D18" s="282"/>
      <c r="E18" s="282"/>
      <c r="F18" s="341">
        <f t="shared" si="1"/>
        <v>0</v>
      </c>
      <c r="G18" s="282"/>
      <c r="H18" s="281"/>
      <c r="I18" s="282"/>
      <c r="J18" s="282"/>
      <c r="K18" s="282"/>
      <c r="L18" s="15" t="str">
        <f t="shared" si="0"/>
        <v/>
      </c>
    </row>
    <row r="19" spans="1:12" x14ac:dyDescent="0.2">
      <c r="A19" s="198">
        <v>10</v>
      </c>
      <c r="B19" s="281"/>
      <c r="C19" s="282"/>
      <c r="D19" s="282"/>
      <c r="E19" s="282"/>
      <c r="F19" s="341">
        <f t="shared" si="1"/>
        <v>0</v>
      </c>
      <c r="G19" s="282"/>
      <c r="H19" s="281"/>
      <c r="I19" s="282"/>
      <c r="J19" s="282"/>
      <c r="K19" s="282"/>
      <c r="L19" s="15" t="str">
        <f t="shared" si="0"/>
        <v/>
      </c>
    </row>
    <row r="20" spans="1:12" x14ac:dyDescent="0.2">
      <c r="A20" s="198">
        <v>11</v>
      </c>
      <c r="B20" s="281"/>
      <c r="C20" s="282"/>
      <c r="D20" s="282"/>
      <c r="E20" s="282"/>
      <c r="F20" s="341">
        <f t="shared" si="1"/>
        <v>0</v>
      </c>
      <c r="G20" s="282"/>
      <c r="H20" s="281"/>
      <c r="I20" s="282"/>
      <c r="J20" s="282"/>
      <c r="K20" s="282"/>
      <c r="L20" s="15" t="str">
        <f t="shared" si="0"/>
        <v/>
      </c>
    </row>
    <row r="21" spans="1:12" x14ac:dyDescent="0.2">
      <c r="A21" s="198">
        <v>12</v>
      </c>
      <c r="B21" s="281"/>
      <c r="C21" s="282"/>
      <c r="D21" s="282"/>
      <c r="E21" s="282"/>
      <c r="F21" s="341">
        <f t="shared" si="1"/>
        <v>0</v>
      </c>
      <c r="G21" s="282"/>
      <c r="H21" s="281"/>
      <c r="I21" s="282"/>
      <c r="J21" s="282"/>
      <c r="K21" s="282"/>
      <c r="L21" s="15" t="str">
        <f t="shared" si="0"/>
        <v/>
      </c>
    </row>
    <row r="22" spans="1:12" x14ac:dyDescent="0.2">
      <c r="A22" s="198">
        <v>13</v>
      </c>
      <c r="B22" s="281"/>
      <c r="C22" s="282"/>
      <c r="D22" s="282"/>
      <c r="E22" s="282"/>
      <c r="F22" s="341">
        <f t="shared" si="1"/>
        <v>0</v>
      </c>
      <c r="G22" s="282"/>
      <c r="H22" s="281"/>
      <c r="I22" s="282"/>
      <c r="J22" s="282"/>
      <c r="K22" s="282"/>
      <c r="L22" s="15" t="str">
        <f t="shared" si="0"/>
        <v/>
      </c>
    </row>
    <row r="23" spans="1:12" x14ac:dyDescent="0.2">
      <c r="A23" s="198">
        <v>14</v>
      </c>
      <c r="B23" s="281"/>
      <c r="C23" s="282"/>
      <c r="D23" s="282"/>
      <c r="E23" s="282"/>
      <c r="F23" s="341">
        <f t="shared" si="1"/>
        <v>0</v>
      </c>
      <c r="G23" s="282"/>
      <c r="H23" s="281"/>
      <c r="I23" s="282"/>
      <c r="J23" s="282"/>
      <c r="K23" s="282"/>
      <c r="L23" s="15" t="str">
        <f t="shared" si="0"/>
        <v/>
      </c>
    </row>
    <row r="24" spans="1:12" x14ac:dyDescent="0.2">
      <c r="A24" s="198">
        <v>15</v>
      </c>
      <c r="B24" s="281"/>
      <c r="C24" s="282"/>
      <c r="D24" s="282"/>
      <c r="E24" s="282"/>
      <c r="F24" s="341">
        <f t="shared" si="1"/>
        <v>0</v>
      </c>
      <c r="G24" s="282"/>
      <c r="H24" s="281"/>
      <c r="I24" s="282"/>
      <c r="J24" s="282"/>
      <c r="K24" s="282"/>
      <c r="L24" s="15" t="str">
        <f t="shared" si="0"/>
        <v/>
      </c>
    </row>
    <row r="25" spans="1:12" x14ac:dyDescent="0.2">
      <c r="A25" s="198">
        <v>16</v>
      </c>
      <c r="B25" s="281"/>
      <c r="C25" s="282"/>
      <c r="D25" s="282"/>
      <c r="E25" s="282"/>
      <c r="F25" s="341">
        <f t="shared" si="1"/>
        <v>0</v>
      </c>
      <c r="G25" s="282"/>
      <c r="H25" s="281"/>
      <c r="I25" s="282"/>
      <c r="J25" s="282"/>
      <c r="K25" s="282"/>
      <c r="L25" s="15" t="str">
        <f t="shared" si="0"/>
        <v/>
      </c>
    </row>
    <row r="26" spans="1:12" x14ac:dyDescent="0.2">
      <c r="A26" s="198">
        <v>17</v>
      </c>
      <c r="B26" s="281"/>
      <c r="C26" s="282"/>
      <c r="D26" s="282"/>
      <c r="E26" s="282"/>
      <c r="F26" s="341">
        <f t="shared" si="1"/>
        <v>0</v>
      </c>
      <c r="G26" s="282"/>
      <c r="H26" s="281"/>
      <c r="I26" s="282"/>
      <c r="J26" s="282"/>
      <c r="K26" s="282"/>
      <c r="L26" s="15" t="str">
        <f t="shared" si="0"/>
        <v/>
      </c>
    </row>
    <row r="27" spans="1:12" x14ac:dyDescent="0.2">
      <c r="A27" s="198">
        <v>18</v>
      </c>
      <c r="B27" s="281"/>
      <c r="C27" s="282"/>
      <c r="D27" s="282"/>
      <c r="E27" s="282"/>
      <c r="F27" s="341">
        <f t="shared" si="1"/>
        <v>0</v>
      </c>
      <c r="G27" s="282"/>
      <c r="H27" s="281"/>
      <c r="I27" s="282"/>
      <c r="J27" s="282"/>
      <c r="K27" s="282"/>
      <c r="L27" s="15" t="str">
        <f t="shared" si="0"/>
        <v/>
      </c>
    </row>
    <row r="28" spans="1:12" x14ac:dyDescent="0.2">
      <c r="A28" s="198">
        <v>19</v>
      </c>
      <c r="B28" s="281"/>
      <c r="C28" s="282"/>
      <c r="D28" s="282"/>
      <c r="E28" s="282"/>
      <c r="F28" s="341">
        <f t="shared" si="1"/>
        <v>0</v>
      </c>
      <c r="G28" s="282"/>
      <c r="H28" s="281"/>
      <c r="I28" s="282"/>
      <c r="J28" s="282"/>
      <c r="K28" s="282"/>
      <c r="L28" s="15" t="str">
        <f t="shared" si="0"/>
        <v/>
      </c>
    </row>
    <row r="29" spans="1:12" x14ac:dyDescent="0.2">
      <c r="A29" s="198">
        <v>20</v>
      </c>
      <c r="B29" s="281"/>
      <c r="C29" s="282"/>
      <c r="D29" s="282"/>
      <c r="E29" s="282"/>
      <c r="F29" s="341">
        <f t="shared" si="1"/>
        <v>0</v>
      </c>
      <c r="G29" s="282"/>
      <c r="H29" s="281"/>
      <c r="I29" s="282"/>
      <c r="J29" s="282"/>
      <c r="K29" s="282"/>
      <c r="L29" s="15" t="str">
        <f t="shared" si="0"/>
        <v/>
      </c>
    </row>
    <row r="30" spans="1:12" x14ac:dyDescent="0.2">
      <c r="A30" s="198">
        <v>21</v>
      </c>
      <c r="B30" s="281"/>
      <c r="C30" s="282"/>
      <c r="D30" s="282"/>
      <c r="E30" s="282"/>
      <c r="F30" s="341">
        <f t="shared" si="1"/>
        <v>0</v>
      </c>
      <c r="G30" s="282"/>
      <c r="H30" s="281"/>
      <c r="I30" s="282"/>
      <c r="J30" s="282"/>
      <c r="K30" s="282"/>
      <c r="L30" s="15" t="str">
        <f t="shared" si="0"/>
        <v/>
      </c>
    </row>
    <row r="31" spans="1:12" x14ac:dyDescent="0.2">
      <c r="A31" s="198">
        <v>22</v>
      </c>
      <c r="B31" s="281"/>
      <c r="C31" s="282"/>
      <c r="D31" s="282"/>
      <c r="E31" s="282"/>
      <c r="F31" s="341">
        <f t="shared" si="1"/>
        <v>0</v>
      </c>
      <c r="G31" s="282"/>
      <c r="H31" s="281"/>
      <c r="I31" s="282"/>
      <c r="J31" s="282"/>
      <c r="K31" s="282"/>
      <c r="L31" s="15" t="str">
        <f t="shared" si="0"/>
        <v/>
      </c>
    </row>
    <row r="32" spans="1:12" x14ac:dyDescent="0.2">
      <c r="A32" s="198">
        <v>23</v>
      </c>
      <c r="B32" s="281"/>
      <c r="C32" s="282"/>
      <c r="D32" s="282"/>
      <c r="E32" s="282"/>
      <c r="F32" s="341">
        <f t="shared" si="1"/>
        <v>0</v>
      </c>
      <c r="G32" s="282"/>
      <c r="H32" s="281"/>
      <c r="I32" s="282"/>
      <c r="J32" s="282"/>
      <c r="K32" s="282"/>
      <c r="L32" s="15" t="str">
        <f t="shared" si="0"/>
        <v/>
      </c>
    </row>
    <row r="33" spans="1:12" x14ac:dyDescent="0.2">
      <c r="A33" s="198">
        <v>24</v>
      </c>
      <c r="B33" s="281"/>
      <c r="C33" s="282"/>
      <c r="D33" s="282"/>
      <c r="E33" s="282"/>
      <c r="F33" s="341">
        <f t="shared" si="1"/>
        <v>0</v>
      </c>
      <c r="G33" s="282"/>
      <c r="H33" s="281"/>
      <c r="I33" s="282"/>
      <c r="J33" s="282"/>
      <c r="K33" s="282"/>
      <c r="L33" s="15" t="str">
        <f t="shared" si="0"/>
        <v/>
      </c>
    </row>
    <row r="34" spans="1:12" x14ac:dyDescent="0.2">
      <c r="A34" s="198">
        <v>25</v>
      </c>
      <c r="B34" s="281"/>
      <c r="C34" s="282"/>
      <c r="D34" s="282"/>
      <c r="E34" s="282"/>
      <c r="F34" s="341">
        <f t="shared" si="1"/>
        <v>0</v>
      </c>
      <c r="G34" s="282"/>
      <c r="H34" s="281"/>
      <c r="I34" s="282"/>
      <c r="J34" s="282"/>
      <c r="K34" s="282"/>
      <c r="L34" s="15" t="str">
        <f t="shared" si="0"/>
        <v/>
      </c>
    </row>
    <row r="35" spans="1:12" x14ac:dyDescent="0.2">
      <c r="A35" s="198">
        <v>26</v>
      </c>
      <c r="B35" s="281"/>
      <c r="C35" s="282"/>
      <c r="D35" s="282"/>
      <c r="E35" s="282"/>
      <c r="F35" s="341">
        <f t="shared" si="1"/>
        <v>0</v>
      </c>
      <c r="G35" s="282"/>
      <c r="H35" s="281"/>
      <c r="I35" s="282"/>
      <c r="J35" s="282"/>
      <c r="K35" s="282"/>
      <c r="L35" s="15" t="str">
        <f t="shared" si="0"/>
        <v/>
      </c>
    </row>
    <row r="36" spans="1:12" x14ac:dyDescent="0.2">
      <c r="A36" s="198">
        <v>27</v>
      </c>
      <c r="B36" s="281"/>
      <c r="C36" s="282"/>
      <c r="D36" s="282"/>
      <c r="E36" s="282"/>
      <c r="F36" s="341">
        <f t="shared" si="1"/>
        <v>0</v>
      </c>
      <c r="G36" s="282"/>
      <c r="H36" s="281"/>
      <c r="I36" s="282"/>
      <c r="J36" s="282"/>
      <c r="K36" s="282"/>
      <c r="L36" s="15" t="str">
        <f t="shared" si="0"/>
        <v/>
      </c>
    </row>
    <row r="37" spans="1:12" x14ac:dyDescent="0.2">
      <c r="A37" s="198">
        <v>28</v>
      </c>
      <c r="B37" s="281"/>
      <c r="C37" s="282"/>
      <c r="D37" s="282"/>
      <c r="E37" s="282"/>
      <c r="F37" s="341">
        <f t="shared" si="1"/>
        <v>0</v>
      </c>
      <c r="G37" s="282"/>
      <c r="H37" s="281"/>
      <c r="I37" s="282"/>
      <c r="J37" s="282"/>
      <c r="K37" s="282"/>
      <c r="L37" s="15" t="str">
        <f t="shared" si="0"/>
        <v/>
      </c>
    </row>
    <row r="38" spans="1:12" x14ac:dyDescent="0.2">
      <c r="A38" s="198">
        <v>29</v>
      </c>
      <c r="B38" s="281"/>
      <c r="C38" s="282"/>
      <c r="D38" s="282"/>
      <c r="E38" s="282"/>
      <c r="F38" s="341">
        <f t="shared" si="1"/>
        <v>0</v>
      </c>
      <c r="G38" s="282"/>
      <c r="H38" s="281"/>
      <c r="I38" s="282"/>
      <c r="J38" s="282"/>
      <c r="K38" s="282"/>
      <c r="L38" s="15" t="str">
        <f t="shared" si="0"/>
        <v/>
      </c>
    </row>
    <row r="39" spans="1:12" x14ac:dyDescent="0.2">
      <c r="A39" s="198">
        <v>30</v>
      </c>
      <c r="B39" s="281"/>
      <c r="C39" s="282"/>
      <c r="D39" s="282"/>
      <c r="E39" s="282"/>
      <c r="F39" s="341">
        <f t="shared" si="1"/>
        <v>0</v>
      </c>
      <c r="G39" s="282"/>
      <c r="H39" s="281"/>
      <c r="I39" s="282"/>
      <c r="J39" s="282"/>
      <c r="K39" s="282"/>
      <c r="L39" s="15" t="str">
        <f t="shared" si="0"/>
        <v/>
      </c>
    </row>
    <row r="40" spans="1:12" x14ac:dyDescent="0.2">
      <c r="A40" s="198">
        <v>31</v>
      </c>
      <c r="B40" s="281"/>
      <c r="C40" s="282"/>
      <c r="D40" s="282"/>
      <c r="E40" s="282"/>
      <c r="F40" s="341">
        <f t="shared" si="1"/>
        <v>0</v>
      </c>
      <c r="G40" s="282"/>
      <c r="H40" s="281"/>
      <c r="I40" s="282"/>
      <c r="J40" s="282"/>
      <c r="K40" s="282"/>
      <c r="L40" s="15" t="str">
        <f t="shared" si="0"/>
        <v/>
      </c>
    </row>
    <row r="41" spans="1:12" x14ac:dyDescent="0.2">
      <c r="A41" s="198">
        <v>32</v>
      </c>
      <c r="B41" s="281"/>
      <c r="C41" s="282"/>
      <c r="D41" s="282"/>
      <c r="E41" s="282"/>
      <c r="F41" s="341">
        <f t="shared" si="1"/>
        <v>0</v>
      </c>
      <c r="G41" s="282"/>
      <c r="H41" s="281"/>
      <c r="I41" s="282"/>
      <c r="J41" s="282"/>
      <c r="K41" s="282"/>
      <c r="L41" s="15" t="str">
        <f t="shared" si="0"/>
        <v/>
      </c>
    </row>
    <row r="42" spans="1:12" x14ac:dyDescent="0.2">
      <c r="A42" s="198">
        <v>33</v>
      </c>
      <c r="B42" s="281"/>
      <c r="C42" s="282"/>
      <c r="D42" s="282"/>
      <c r="E42" s="282"/>
      <c r="F42" s="341">
        <f t="shared" si="1"/>
        <v>0</v>
      </c>
      <c r="G42" s="282"/>
      <c r="H42" s="281"/>
      <c r="I42" s="282"/>
      <c r="J42" s="282"/>
      <c r="K42" s="282"/>
      <c r="L42" s="15" t="str">
        <f t="shared" ref="L42:L73" si="2">IF(H42="","",IF(COUNTIF(list_of_activities_filtered,H42)=0,"Activity not defined!/Aktivita nie je definovaná",VLOOKUP(H42,list_of_activities_table,2,FALSE)))</f>
        <v/>
      </c>
    </row>
    <row r="43" spans="1:12" x14ac:dyDescent="0.2">
      <c r="A43" s="198">
        <v>34</v>
      </c>
      <c r="B43" s="281"/>
      <c r="C43" s="282"/>
      <c r="D43" s="282"/>
      <c r="E43" s="282"/>
      <c r="F43" s="341">
        <f t="shared" si="1"/>
        <v>0</v>
      </c>
      <c r="G43" s="282"/>
      <c r="H43" s="281"/>
      <c r="I43" s="282"/>
      <c r="J43" s="282"/>
      <c r="K43" s="282"/>
      <c r="L43" s="15" t="str">
        <f t="shared" si="2"/>
        <v/>
      </c>
    </row>
    <row r="44" spans="1:12" x14ac:dyDescent="0.2">
      <c r="A44" s="198">
        <v>35</v>
      </c>
      <c r="B44" s="281"/>
      <c r="C44" s="282"/>
      <c r="D44" s="282"/>
      <c r="E44" s="282"/>
      <c r="F44" s="341">
        <f t="shared" si="1"/>
        <v>0</v>
      </c>
      <c r="G44" s="282"/>
      <c r="H44" s="281"/>
      <c r="I44" s="282"/>
      <c r="J44" s="282"/>
      <c r="K44" s="282"/>
      <c r="L44" s="15" t="str">
        <f t="shared" si="2"/>
        <v/>
      </c>
    </row>
    <row r="45" spans="1:12" x14ac:dyDescent="0.2">
      <c r="A45" s="198">
        <v>36</v>
      </c>
      <c r="B45" s="281"/>
      <c r="C45" s="282"/>
      <c r="D45" s="282"/>
      <c r="E45" s="282"/>
      <c r="F45" s="341">
        <f t="shared" si="1"/>
        <v>0</v>
      </c>
      <c r="G45" s="282"/>
      <c r="H45" s="281"/>
      <c r="I45" s="282"/>
      <c r="J45" s="282"/>
      <c r="K45" s="282"/>
      <c r="L45" s="15" t="str">
        <f t="shared" si="2"/>
        <v/>
      </c>
    </row>
    <row r="46" spans="1:12" x14ac:dyDescent="0.2">
      <c r="A46" s="198">
        <v>37</v>
      </c>
      <c r="B46" s="281"/>
      <c r="C46" s="282"/>
      <c r="D46" s="282"/>
      <c r="E46" s="282"/>
      <c r="F46" s="341">
        <f t="shared" si="1"/>
        <v>0</v>
      </c>
      <c r="G46" s="282"/>
      <c r="H46" s="281"/>
      <c r="I46" s="282"/>
      <c r="J46" s="282"/>
      <c r="K46" s="282"/>
      <c r="L46" s="15" t="str">
        <f t="shared" si="2"/>
        <v/>
      </c>
    </row>
    <row r="47" spans="1:12" x14ac:dyDescent="0.2">
      <c r="A47" s="198">
        <v>38</v>
      </c>
      <c r="B47" s="281"/>
      <c r="C47" s="282"/>
      <c r="D47" s="282"/>
      <c r="E47" s="282"/>
      <c r="F47" s="341">
        <f t="shared" si="1"/>
        <v>0</v>
      </c>
      <c r="G47" s="282"/>
      <c r="H47" s="281"/>
      <c r="I47" s="282"/>
      <c r="J47" s="282"/>
      <c r="K47" s="282"/>
      <c r="L47" s="15" t="str">
        <f t="shared" si="2"/>
        <v/>
      </c>
    </row>
    <row r="48" spans="1:12" x14ac:dyDescent="0.2">
      <c r="A48" s="198">
        <v>39</v>
      </c>
      <c r="B48" s="281"/>
      <c r="C48" s="282"/>
      <c r="D48" s="282"/>
      <c r="E48" s="282"/>
      <c r="F48" s="341">
        <f t="shared" si="1"/>
        <v>0</v>
      </c>
      <c r="G48" s="282"/>
      <c r="H48" s="281"/>
      <c r="I48" s="282"/>
      <c r="J48" s="282"/>
      <c r="K48" s="282"/>
      <c r="L48" s="15" t="str">
        <f t="shared" si="2"/>
        <v/>
      </c>
    </row>
    <row r="49" spans="1:12" x14ac:dyDescent="0.2">
      <c r="A49" s="198">
        <v>40</v>
      </c>
      <c r="B49" s="281"/>
      <c r="C49" s="282"/>
      <c r="D49" s="282"/>
      <c r="E49" s="282"/>
      <c r="F49" s="341">
        <f t="shared" si="1"/>
        <v>0</v>
      </c>
      <c r="G49" s="282"/>
      <c r="H49" s="281"/>
      <c r="I49" s="282"/>
      <c r="J49" s="282"/>
      <c r="K49" s="282"/>
      <c r="L49" s="15" t="str">
        <f t="shared" si="2"/>
        <v/>
      </c>
    </row>
    <row r="50" spans="1:12" x14ac:dyDescent="0.2">
      <c r="A50" s="198">
        <v>41</v>
      </c>
      <c r="B50" s="281"/>
      <c r="C50" s="282"/>
      <c r="D50" s="282"/>
      <c r="E50" s="282"/>
      <c r="F50" s="341">
        <f t="shared" si="1"/>
        <v>0</v>
      </c>
      <c r="G50" s="282"/>
      <c r="H50" s="281"/>
      <c r="I50" s="282"/>
      <c r="J50" s="282"/>
      <c r="K50" s="282"/>
      <c r="L50" s="15" t="str">
        <f t="shared" si="2"/>
        <v/>
      </c>
    </row>
    <row r="51" spans="1:12" x14ac:dyDescent="0.2">
      <c r="A51" s="198">
        <v>42</v>
      </c>
      <c r="B51" s="281"/>
      <c r="C51" s="282"/>
      <c r="D51" s="282"/>
      <c r="E51" s="282"/>
      <c r="F51" s="341">
        <f t="shared" si="1"/>
        <v>0</v>
      </c>
      <c r="G51" s="282"/>
      <c r="H51" s="281"/>
      <c r="I51" s="282"/>
      <c r="J51" s="282"/>
      <c r="K51" s="282"/>
      <c r="L51" s="15" t="str">
        <f t="shared" si="2"/>
        <v/>
      </c>
    </row>
    <row r="52" spans="1:12" x14ac:dyDescent="0.2">
      <c r="A52" s="198">
        <v>43</v>
      </c>
      <c r="B52" s="281"/>
      <c r="C52" s="282"/>
      <c r="D52" s="282"/>
      <c r="E52" s="282"/>
      <c r="F52" s="341">
        <f t="shared" si="1"/>
        <v>0</v>
      </c>
      <c r="G52" s="282"/>
      <c r="H52" s="281"/>
      <c r="I52" s="282"/>
      <c r="J52" s="282"/>
      <c r="K52" s="282"/>
      <c r="L52" s="15" t="str">
        <f t="shared" si="2"/>
        <v/>
      </c>
    </row>
    <row r="53" spans="1:12" x14ac:dyDescent="0.2">
      <c r="A53" s="198">
        <v>44</v>
      </c>
      <c r="B53" s="281"/>
      <c r="C53" s="282"/>
      <c r="D53" s="282"/>
      <c r="E53" s="282"/>
      <c r="F53" s="341">
        <f t="shared" si="1"/>
        <v>0</v>
      </c>
      <c r="G53" s="282"/>
      <c r="H53" s="281"/>
      <c r="I53" s="282"/>
      <c r="J53" s="282"/>
      <c r="K53" s="282"/>
      <c r="L53" s="15" t="str">
        <f t="shared" si="2"/>
        <v/>
      </c>
    </row>
    <row r="54" spans="1:12" x14ac:dyDescent="0.2">
      <c r="A54" s="198">
        <v>45</v>
      </c>
      <c r="B54" s="281"/>
      <c r="C54" s="282"/>
      <c r="D54" s="282"/>
      <c r="E54" s="282"/>
      <c r="F54" s="341">
        <f t="shared" si="1"/>
        <v>0</v>
      </c>
      <c r="G54" s="282"/>
      <c r="H54" s="281"/>
      <c r="I54" s="282"/>
      <c r="J54" s="282"/>
      <c r="K54" s="282"/>
      <c r="L54" s="15" t="str">
        <f t="shared" si="2"/>
        <v/>
      </c>
    </row>
    <row r="55" spans="1:12" x14ac:dyDescent="0.2">
      <c r="A55" s="198">
        <v>46</v>
      </c>
      <c r="B55" s="281"/>
      <c r="C55" s="282"/>
      <c r="D55" s="282"/>
      <c r="E55" s="282"/>
      <c r="F55" s="341">
        <f t="shared" si="1"/>
        <v>0</v>
      </c>
      <c r="G55" s="282"/>
      <c r="H55" s="281"/>
      <c r="I55" s="282"/>
      <c r="J55" s="282"/>
      <c r="K55" s="282"/>
      <c r="L55" s="15" t="str">
        <f t="shared" si="2"/>
        <v/>
      </c>
    </row>
    <row r="56" spans="1:12" x14ac:dyDescent="0.2">
      <c r="A56" s="198">
        <v>47</v>
      </c>
      <c r="B56" s="281"/>
      <c r="C56" s="282"/>
      <c r="D56" s="282"/>
      <c r="E56" s="282"/>
      <c r="F56" s="341">
        <f t="shared" si="1"/>
        <v>0</v>
      </c>
      <c r="G56" s="282"/>
      <c r="H56" s="281"/>
      <c r="I56" s="282"/>
      <c r="J56" s="282"/>
      <c r="K56" s="282"/>
      <c r="L56" s="15" t="str">
        <f t="shared" si="2"/>
        <v/>
      </c>
    </row>
    <row r="57" spans="1:12" x14ac:dyDescent="0.2">
      <c r="A57" s="198">
        <v>48</v>
      </c>
      <c r="B57" s="281"/>
      <c r="C57" s="282"/>
      <c r="D57" s="282"/>
      <c r="E57" s="282"/>
      <c r="F57" s="341">
        <f t="shared" si="1"/>
        <v>0</v>
      </c>
      <c r="G57" s="282"/>
      <c r="H57" s="281"/>
      <c r="I57" s="282"/>
      <c r="J57" s="282"/>
      <c r="K57" s="282"/>
      <c r="L57" s="15" t="str">
        <f t="shared" si="2"/>
        <v/>
      </c>
    </row>
    <row r="58" spans="1:12" x14ac:dyDescent="0.2">
      <c r="A58" s="198">
        <v>49</v>
      </c>
      <c r="B58" s="281"/>
      <c r="C58" s="282"/>
      <c r="D58" s="282"/>
      <c r="E58" s="282"/>
      <c r="F58" s="341">
        <f t="shared" si="1"/>
        <v>0</v>
      </c>
      <c r="G58" s="282"/>
      <c r="H58" s="281"/>
      <c r="I58" s="282"/>
      <c r="J58" s="282"/>
      <c r="K58" s="282"/>
      <c r="L58" s="15" t="str">
        <f t="shared" si="2"/>
        <v/>
      </c>
    </row>
    <row r="59" spans="1:12" x14ac:dyDescent="0.2">
      <c r="A59" s="198">
        <v>50</v>
      </c>
      <c r="B59" s="281"/>
      <c r="C59" s="282"/>
      <c r="D59" s="282"/>
      <c r="E59" s="282"/>
      <c r="F59" s="341">
        <f t="shared" si="1"/>
        <v>0</v>
      </c>
      <c r="G59" s="282"/>
      <c r="H59" s="281"/>
      <c r="I59" s="282"/>
      <c r="J59" s="282"/>
      <c r="K59" s="282"/>
      <c r="L59" s="15" t="str">
        <f t="shared" si="2"/>
        <v/>
      </c>
    </row>
    <row r="60" spans="1:12" x14ac:dyDescent="0.2">
      <c r="A60" s="198">
        <v>51</v>
      </c>
      <c r="B60" s="281"/>
      <c r="C60" s="282"/>
      <c r="D60" s="282"/>
      <c r="E60" s="282"/>
      <c r="F60" s="341">
        <f t="shared" si="1"/>
        <v>0</v>
      </c>
      <c r="G60" s="282"/>
      <c r="H60" s="281"/>
      <c r="I60" s="282"/>
      <c r="J60" s="282"/>
      <c r="K60" s="282"/>
      <c r="L60" s="15" t="str">
        <f t="shared" si="2"/>
        <v/>
      </c>
    </row>
    <row r="61" spans="1:12" x14ac:dyDescent="0.2">
      <c r="A61" s="198">
        <v>52</v>
      </c>
      <c r="B61" s="281"/>
      <c r="C61" s="282"/>
      <c r="D61" s="282"/>
      <c r="E61" s="282"/>
      <c r="F61" s="341">
        <f t="shared" si="1"/>
        <v>0</v>
      </c>
      <c r="G61" s="282"/>
      <c r="H61" s="281"/>
      <c r="I61" s="282"/>
      <c r="J61" s="282"/>
      <c r="K61" s="282"/>
      <c r="L61" s="15" t="str">
        <f t="shared" si="2"/>
        <v/>
      </c>
    </row>
    <row r="62" spans="1:12" x14ac:dyDescent="0.2">
      <c r="A62" s="198">
        <v>53</v>
      </c>
      <c r="B62" s="281"/>
      <c r="C62" s="282"/>
      <c r="D62" s="282"/>
      <c r="E62" s="282"/>
      <c r="F62" s="341">
        <f t="shared" si="1"/>
        <v>0</v>
      </c>
      <c r="G62" s="282"/>
      <c r="H62" s="281"/>
      <c r="I62" s="282"/>
      <c r="J62" s="282"/>
      <c r="K62" s="282"/>
      <c r="L62" s="15" t="str">
        <f t="shared" si="2"/>
        <v/>
      </c>
    </row>
    <row r="63" spans="1:12" x14ac:dyDescent="0.2">
      <c r="A63" s="198">
        <v>54</v>
      </c>
      <c r="B63" s="281"/>
      <c r="C63" s="282"/>
      <c r="D63" s="282"/>
      <c r="E63" s="282"/>
      <c r="F63" s="341">
        <f t="shared" si="1"/>
        <v>0</v>
      </c>
      <c r="G63" s="282"/>
      <c r="H63" s="281"/>
      <c r="I63" s="282"/>
      <c r="J63" s="282"/>
      <c r="K63" s="282"/>
      <c r="L63" s="15" t="str">
        <f t="shared" si="2"/>
        <v/>
      </c>
    </row>
    <row r="64" spans="1:12" x14ac:dyDescent="0.2">
      <c r="A64" s="198">
        <v>55</v>
      </c>
      <c r="B64" s="281"/>
      <c r="C64" s="282"/>
      <c r="D64" s="282"/>
      <c r="E64" s="282"/>
      <c r="F64" s="341">
        <f t="shared" si="1"/>
        <v>0</v>
      </c>
      <c r="G64" s="282"/>
      <c r="H64" s="281"/>
      <c r="I64" s="282"/>
      <c r="J64" s="282"/>
      <c r="K64" s="282"/>
      <c r="L64" s="15" t="str">
        <f t="shared" si="2"/>
        <v/>
      </c>
    </row>
    <row r="65" spans="1:12" x14ac:dyDescent="0.2">
      <c r="A65" s="198">
        <v>56</v>
      </c>
      <c r="B65" s="283"/>
      <c r="C65" s="283"/>
      <c r="D65" s="283"/>
      <c r="E65" s="283"/>
      <c r="F65" s="341">
        <f t="shared" si="1"/>
        <v>0</v>
      </c>
      <c r="G65" s="335"/>
      <c r="H65" s="283"/>
      <c r="I65" s="282"/>
      <c r="J65" s="282"/>
      <c r="K65" s="283"/>
      <c r="L65" s="15" t="str">
        <f t="shared" si="2"/>
        <v/>
      </c>
    </row>
    <row r="66" spans="1:12" x14ac:dyDescent="0.2">
      <c r="A66" s="198">
        <v>57</v>
      </c>
      <c r="B66" s="283"/>
      <c r="C66" s="283"/>
      <c r="D66" s="283"/>
      <c r="E66" s="283"/>
      <c r="F66" s="341">
        <f t="shared" si="1"/>
        <v>0</v>
      </c>
      <c r="G66" s="335"/>
      <c r="H66" s="283"/>
      <c r="I66" s="282"/>
      <c r="J66" s="282"/>
      <c r="K66" s="283"/>
      <c r="L66" s="15" t="str">
        <f t="shared" si="2"/>
        <v/>
      </c>
    </row>
    <row r="67" spans="1:12" x14ac:dyDescent="0.2">
      <c r="A67" s="198">
        <v>58</v>
      </c>
      <c r="B67" s="283"/>
      <c r="C67" s="283"/>
      <c r="D67" s="283"/>
      <c r="E67" s="283"/>
      <c r="F67" s="341">
        <f t="shared" si="1"/>
        <v>0</v>
      </c>
      <c r="G67" s="335"/>
      <c r="H67" s="283"/>
      <c r="I67" s="282"/>
      <c r="J67" s="282"/>
      <c r="K67" s="283"/>
      <c r="L67" s="15" t="str">
        <f t="shared" si="2"/>
        <v/>
      </c>
    </row>
    <row r="68" spans="1:12" x14ac:dyDescent="0.2">
      <c r="A68" s="198">
        <v>59</v>
      </c>
      <c r="B68" s="283"/>
      <c r="C68" s="283"/>
      <c r="D68" s="283"/>
      <c r="E68" s="283"/>
      <c r="F68" s="341">
        <f t="shared" si="1"/>
        <v>0</v>
      </c>
      <c r="G68" s="335"/>
      <c r="H68" s="283"/>
      <c r="I68" s="282"/>
      <c r="J68" s="282"/>
      <c r="K68" s="283"/>
      <c r="L68" s="15" t="str">
        <f t="shared" si="2"/>
        <v/>
      </c>
    </row>
    <row r="69" spans="1:12" x14ac:dyDescent="0.2">
      <c r="A69" s="198">
        <v>60</v>
      </c>
      <c r="B69" s="283"/>
      <c r="C69" s="283"/>
      <c r="D69" s="283"/>
      <c r="E69" s="283"/>
      <c r="F69" s="341">
        <f t="shared" si="1"/>
        <v>0</v>
      </c>
      <c r="G69" s="335"/>
      <c r="H69" s="283"/>
      <c r="I69" s="282"/>
      <c r="J69" s="282"/>
      <c r="K69" s="284"/>
      <c r="L69" s="15" t="str">
        <f t="shared" si="2"/>
        <v/>
      </c>
    </row>
    <row r="70" spans="1:12" x14ac:dyDescent="0.2">
      <c r="A70" s="198">
        <v>61</v>
      </c>
      <c r="B70" s="285"/>
      <c r="C70" s="285"/>
      <c r="D70" s="285"/>
      <c r="E70" s="285"/>
      <c r="F70" s="341">
        <f t="shared" si="1"/>
        <v>0</v>
      </c>
      <c r="G70" s="336"/>
      <c r="H70" s="285"/>
      <c r="I70" s="282"/>
      <c r="J70" s="282"/>
      <c r="K70" s="281"/>
      <c r="L70" s="15" t="str">
        <f t="shared" si="2"/>
        <v/>
      </c>
    </row>
    <row r="71" spans="1:12" x14ac:dyDescent="0.2">
      <c r="A71" s="198">
        <v>62</v>
      </c>
      <c r="B71" s="285"/>
      <c r="C71" s="285"/>
      <c r="D71" s="285"/>
      <c r="E71" s="285"/>
      <c r="F71" s="341">
        <f t="shared" si="1"/>
        <v>0</v>
      </c>
      <c r="G71" s="336"/>
      <c r="H71" s="285"/>
      <c r="I71" s="282"/>
      <c r="J71" s="282"/>
      <c r="K71" s="283"/>
      <c r="L71" s="15" t="str">
        <f t="shared" si="2"/>
        <v/>
      </c>
    </row>
    <row r="72" spans="1:12" x14ac:dyDescent="0.2">
      <c r="A72" s="198">
        <v>63</v>
      </c>
      <c r="B72" s="285"/>
      <c r="C72" s="285"/>
      <c r="D72" s="285"/>
      <c r="E72" s="285"/>
      <c r="F72" s="341">
        <f t="shared" si="1"/>
        <v>0</v>
      </c>
      <c r="G72" s="336"/>
      <c r="H72" s="285"/>
      <c r="I72" s="282"/>
      <c r="J72" s="282"/>
      <c r="K72" s="283"/>
      <c r="L72" s="15" t="str">
        <f t="shared" si="2"/>
        <v/>
      </c>
    </row>
    <row r="73" spans="1:12" x14ac:dyDescent="0.2">
      <c r="A73" s="198">
        <v>64</v>
      </c>
      <c r="B73" s="285"/>
      <c r="C73" s="285"/>
      <c r="D73" s="285"/>
      <c r="E73" s="285"/>
      <c r="F73" s="341">
        <f t="shared" si="1"/>
        <v>0</v>
      </c>
      <c r="G73" s="336"/>
      <c r="H73" s="285"/>
      <c r="I73" s="282"/>
      <c r="J73" s="282"/>
      <c r="K73" s="283"/>
      <c r="L73" s="15" t="str">
        <f t="shared" si="2"/>
        <v/>
      </c>
    </row>
    <row r="74" spans="1:12" x14ac:dyDescent="0.2">
      <c r="A74" s="198">
        <v>65</v>
      </c>
      <c r="B74" s="285"/>
      <c r="C74" s="285"/>
      <c r="D74" s="285"/>
      <c r="E74" s="285"/>
      <c r="F74" s="341">
        <f t="shared" si="1"/>
        <v>0</v>
      </c>
      <c r="G74" s="336"/>
      <c r="H74" s="285"/>
      <c r="I74" s="282"/>
      <c r="J74" s="282"/>
      <c r="K74" s="285"/>
      <c r="L74" s="15" t="str">
        <f t="shared" ref="L74:L109" si="3">IF(H74="","",IF(COUNTIF(list_of_activities_filtered,H74)=0,"Activity not defined!/Aktivita nie je definovaná",VLOOKUP(H74,list_of_activities_table,2,FALSE)))</f>
        <v/>
      </c>
    </row>
    <row r="75" spans="1:12" x14ac:dyDescent="0.2">
      <c r="A75" s="198">
        <v>66</v>
      </c>
      <c r="B75" s="285"/>
      <c r="C75" s="285"/>
      <c r="D75" s="285"/>
      <c r="E75" s="285"/>
      <c r="F75" s="341">
        <f t="shared" ref="F75:F109" si="4">D75*E75</f>
        <v>0</v>
      </c>
      <c r="G75" s="336"/>
      <c r="H75" s="285"/>
      <c r="I75" s="282"/>
      <c r="J75" s="282"/>
      <c r="K75" s="285"/>
      <c r="L75" s="15" t="str">
        <f t="shared" si="3"/>
        <v/>
      </c>
    </row>
    <row r="76" spans="1:12" x14ac:dyDescent="0.2">
      <c r="A76" s="198">
        <v>67</v>
      </c>
      <c r="B76" s="285"/>
      <c r="C76" s="285"/>
      <c r="D76" s="285"/>
      <c r="E76" s="285"/>
      <c r="F76" s="341">
        <f t="shared" si="4"/>
        <v>0</v>
      </c>
      <c r="G76" s="336"/>
      <c r="H76" s="285"/>
      <c r="I76" s="282"/>
      <c r="J76" s="282"/>
      <c r="K76" s="285"/>
      <c r="L76" s="15" t="str">
        <f t="shared" si="3"/>
        <v/>
      </c>
    </row>
    <row r="77" spans="1:12" x14ac:dyDescent="0.2">
      <c r="A77" s="198">
        <v>68</v>
      </c>
      <c r="B77" s="285"/>
      <c r="C77" s="285"/>
      <c r="D77" s="285"/>
      <c r="E77" s="285"/>
      <c r="F77" s="341">
        <f t="shared" si="4"/>
        <v>0</v>
      </c>
      <c r="G77" s="336"/>
      <c r="H77" s="285"/>
      <c r="I77" s="282"/>
      <c r="J77" s="282"/>
      <c r="K77" s="285"/>
      <c r="L77" s="15" t="str">
        <f t="shared" si="3"/>
        <v/>
      </c>
    </row>
    <row r="78" spans="1:12" x14ac:dyDescent="0.2">
      <c r="A78" s="198">
        <v>69</v>
      </c>
      <c r="B78" s="285"/>
      <c r="C78" s="285"/>
      <c r="D78" s="285"/>
      <c r="E78" s="285"/>
      <c r="F78" s="341">
        <f t="shared" si="4"/>
        <v>0</v>
      </c>
      <c r="G78" s="336"/>
      <c r="H78" s="285"/>
      <c r="I78" s="282"/>
      <c r="J78" s="282"/>
      <c r="K78" s="285"/>
      <c r="L78" s="15" t="str">
        <f t="shared" si="3"/>
        <v/>
      </c>
    </row>
    <row r="79" spans="1:12" x14ac:dyDescent="0.2">
      <c r="A79" s="198">
        <v>70</v>
      </c>
      <c r="B79" s="285"/>
      <c r="C79" s="285"/>
      <c r="D79" s="285"/>
      <c r="E79" s="285"/>
      <c r="F79" s="341">
        <f t="shared" si="4"/>
        <v>0</v>
      </c>
      <c r="G79" s="336"/>
      <c r="H79" s="285"/>
      <c r="I79" s="282"/>
      <c r="J79" s="282"/>
      <c r="K79" s="285"/>
      <c r="L79" s="15" t="str">
        <f t="shared" si="3"/>
        <v/>
      </c>
    </row>
    <row r="80" spans="1:12" x14ac:dyDescent="0.2">
      <c r="A80" s="198">
        <v>71</v>
      </c>
      <c r="B80" s="285"/>
      <c r="C80" s="285"/>
      <c r="D80" s="285"/>
      <c r="E80" s="285"/>
      <c r="F80" s="341">
        <f t="shared" si="4"/>
        <v>0</v>
      </c>
      <c r="G80" s="336"/>
      <c r="H80" s="285"/>
      <c r="I80" s="282"/>
      <c r="J80" s="282"/>
      <c r="K80" s="285"/>
      <c r="L80" s="15" t="str">
        <f t="shared" si="3"/>
        <v/>
      </c>
    </row>
    <row r="81" spans="1:12" x14ac:dyDescent="0.2">
      <c r="A81" s="198">
        <v>72</v>
      </c>
      <c r="B81" s="285"/>
      <c r="C81" s="285"/>
      <c r="D81" s="285"/>
      <c r="E81" s="285"/>
      <c r="F81" s="341">
        <f t="shared" si="4"/>
        <v>0</v>
      </c>
      <c r="G81" s="336"/>
      <c r="H81" s="285"/>
      <c r="I81" s="282"/>
      <c r="J81" s="282"/>
      <c r="K81" s="285"/>
      <c r="L81" s="15" t="str">
        <f t="shared" si="3"/>
        <v/>
      </c>
    </row>
    <row r="82" spans="1:12" x14ac:dyDescent="0.2">
      <c r="A82" s="198">
        <v>73</v>
      </c>
      <c r="B82" s="285"/>
      <c r="C82" s="285"/>
      <c r="D82" s="285"/>
      <c r="E82" s="285"/>
      <c r="F82" s="341">
        <f t="shared" si="4"/>
        <v>0</v>
      </c>
      <c r="G82" s="336"/>
      <c r="H82" s="285"/>
      <c r="I82" s="282"/>
      <c r="J82" s="282"/>
      <c r="K82" s="285"/>
      <c r="L82" s="15" t="str">
        <f t="shared" si="3"/>
        <v/>
      </c>
    </row>
    <row r="83" spans="1:12" x14ac:dyDescent="0.2">
      <c r="A83" s="198">
        <v>74</v>
      </c>
      <c r="B83" s="285"/>
      <c r="C83" s="285"/>
      <c r="D83" s="285"/>
      <c r="E83" s="285"/>
      <c r="F83" s="341">
        <f t="shared" si="4"/>
        <v>0</v>
      </c>
      <c r="G83" s="336"/>
      <c r="H83" s="285"/>
      <c r="I83" s="282"/>
      <c r="J83" s="282"/>
      <c r="K83" s="285"/>
      <c r="L83" s="15" t="str">
        <f t="shared" si="3"/>
        <v/>
      </c>
    </row>
    <row r="84" spans="1:12" x14ac:dyDescent="0.2">
      <c r="A84" s="198">
        <v>75</v>
      </c>
      <c r="B84" s="285"/>
      <c r="C84" s="285"/>
      <c r="D84" s="285"/>
      <c r="E84" s="285"/>
      <c r="F84" s="341">
        <f t="shared" si="4"/>
        <v>0</v>
      </c>
      <c r="G84" s="336"/>
      <c r="H84" s="285"/>
      <c r="I84" s="282"/>
      <c r="J84" s="282"/>
      <c r="K84" s="285"/>
      <c r="L84" s="15" t="str">
        <f t="shared" si="3"/>
        <v/>
      </c>
    </row>
    <row r="85" spans="1:12" x14ac:dyDescent="0.2">
      <c r="A85" s="198">
        <v>76</v>
      </c>
      <c r="B85" s="285"/>
      <c r="C85" s="285"/>
      <c r="D85" s="285"/>
      <c r="E85" s="285"/>
      <c r="F85" s="341">
        <f t="shared" si="4"/>
        <v>0</v>
      </c>
      <c r="G85" s="336"/>
      <c r="H85" s="285"/>
      <c r="I85" s="282"/>
      <c r="J85" s="282"/>
      <c r="K85" s="285"/>
      <c r="L85" s="15" t="str">
        <f t="shared" si="3"/>
        <v/>
      </c>
    </row>
    <row r="86" spans="1:12" x14ac:dyDescent="0.2">
      <c r="A86" s="198">
        <v>77</v>
      </c>
      <c r="B86" s="285"/>
      <c r="C86" s="285"/>
      <c r="D86" s="285"/>
      <c r="E86" s="285"/>
      <c r="F86" s="341">
        <f t="shared" si="4"/>
        <v>0</v>
      </c>
      <c r="G86" s="336"/>
      <c r="H86" s="285"/>
      <c r="I86" s="282"/>
      <c r="J86" s="282"/>
      <c r="K86" s="285"/>
      <c r="L86" s="15" t="str">
        <f t="shared" si="3"/>
        <v/>
      </c>
    </row>
    <row r="87" spans="1:12" x14ac:dyDescent="0.2">
      <c r="A87" s="198">
        <v>78</v>
      </c>
      <c r="B87" s="285"/>
      <c r="C87" s="285"/>
      <c r="D87" s="285"/>
      <c r="E87" s="285"/>
      <c r="F87" s="341">
        <f t="shared" si="4"/>
        <v>0</v>
      </c>
      <c r="G87" s="336"/>
      <c r="H87" s="285"/>
      <c r="I87" s="282"/>
      <c r="J87" s="282"/>
      <c r="K87" s="285"/>
      <c r="L87" s="15" t="str">
        <f t="shared" si="3"/>
        <v/>
      </c>
    </row>
    <row r="88" spans="1:12" x14ac:dyDescent="0.2">
      <c r="A88" s="198">
        <v>79</v>
      </c>
      <c r="B88" s="285"/>
      <c r="C88" s="285"/>
      <c r="D88" s="285"/>
      <c r="E88" s="285"/>
      <c r="F88" s="341">
        <f t="shared" si="4"/>
        <v>0</v>
      </c>
      <c r="G88" s="336"/>
      <c r="H88" s="285"/>
      <c r="I88" s="282"/>
      <c r="J88" s="282"/>
      <c r="K88" s="285"/>
      <c r="L88" s="15" t="str">
        <f t="shared" si="3"/>
        <v/>
      </c>
    </row>
    <row r="89" spans="1:12" x14ac:dyDescent="0.2">
      <c r="A89" s="198">
        <v>80</v>
      </c>
      <c r="B89" s="285"/>
      <c r="C89" s="285"/>
      <c r="D89" s="285"/>
      <c r="E89" s="285"/>
      <c r="F89" s="341">
        <f t="shared" si="4"/>
        <v>0</v>
      </c>
      <c r="G89" s="336"/>
      <c r="H89" s="285"/>
      <c r="I89" s="282"/>
      <c r="J89" s="282"/>
      <c r="K89" s="285"/>
      <c r="L89" s="15" t="str">
        <f t="shared" si="3"/>
        <v/>
      </c>
    </row>
    <row r="90" spans="1:12" x14ac:dyDescent="0.2">
      <c r="A90" s="198">
        <v>81</v>
      </c>
      <c r="B90" s="285"/>
      <c r="C90" s="285"/>
      <c r="D90" s="285"/>
      <c r="E90" s="285"/>
      <c r="F90" s="341">
        <f t="shared" si="4"/>
        <v>0</v>
      </c>
      <c r="G90" s="336"/>
      <c r="H90" s="285"/>
      <c r="I90" s="282"/>
      <c r="J90" s="282"/>
      <c r="K90" s="285"/>
      <c r="L90" s="15" t="str">
        <f t="shared" si="3"/>
        <v/>
      </c>
    </row>
    <row r="91" spans="1:12" x14ac:dyDescent="0.2">
      <c r="A91" s="198">
        <v>82</v>
      </c>
      <c r="B91" s="285"/>
      <c r="C91" s="285"/>
      <c r="D91" s="285"/>
      <c r="E91" s="285"/>
      <c r="F91" s="341">
        <f t="shared" si="4"/>
        <v>0</v>
      </c>
      <c r="G91" s="336"/>
      <c r="H91" s="285"/>
      <c r="I91" s="282"/>
      <c r="J91" s="282"/>
      <c r="K91" s="285"/>
      <c r="L91" s="15" t="str">
        <f t="shared" si="3"/>
        <v/>
      </c>
    </row>
    <row r="92" spans="1:12" x14ac:dyDescent="0.2">
      <c r="A92" s="198">
        <v>83</v>
      </c>
      <c r="B92" s="285"/>
      <c r="C92" s="285"/>
      <c r="D92" s="285"/>
      <c r="E92" s="285"/>
      <c r="F92" s="341">
        <f t="shared" si="4"/>
        <v>0</v>
      </c>
      <c r="G92" s="336"/>
      <c r="H92" s="285"/>
      <c r="I92" s="282"/>
      <c r="J92" s="282"/>
      <c r="K92" s="285"/>
      <c r="L92" s="15" t="str">
        <f t="shared" si="3"/>
        <v/>
      </c>
    </row>
    <row r="93" spans="1:12" x14ac:dyDescent="0.2">
      <c r="A93" s="198">
        <v>84</v>
      </c>
      <c r="B93" s="285"/>
      <c r="C93" s="285"/>
      <c r="D93" s="285"/>
      <c r="E93" s="285"/>
      <c r="F93" s="341">
        <f t="shared" si="4"/>
        <v>0</v>
      </c>
      <c r="G93" s="336"/>
      <c r="H93" s="285"/>
      <c r="I93" s="282"/>
      <c r="J93" s="282"/>
      <c r="K93" s="285"/>
      <c r="L93" s="15" t="str">
        <f t="shared" si="3"/>
        <v/>
      </c>
    </row>
    <row r="94" spans="1:12" x14ac:dyDescent="0.2">
      <c r="A94" s="198">
        <v>85</v>
      </c>
      <c r="B94" s="285"/>
      <c r="C94" s="285"/>
      <c r="D94" s="285"/>
      <c r="E94" s="285"/>
      <c r="F94" s="341">
        <f t="shared" si="4"/>
        <v>0</v>
      </c>
      <c r="G94" s="336"/>
      <c r="H94" s="285"/>
      <c r="I94" s="282"/>
      <c r="J94" s="282"/>
      <c r="K94" s="285"/>
      <c r="L94" s="15" t="str">
        <f t="shared" si="3"/>
        <v/>
      </c>
    </row>
    <row r="95" spans="1:12" x14ac:dyDescent="0.2">
      <c r="A95" s="198">
        <v>86</v>
      </c>
      <c r="B95" s="285"/>
      <c r="C95" s="285"/>
      <c r="D95" s="285"/>
      <c r="E95" s="285"/>
      <c r="F95" s="341">
        <f t="shared" si="4"/>
        <v>0</v>
      </c>
      <c r="G95" s="336"/>
      <c r="H95" s="285"/>
      <c r="I95" s="282"/>
      <c r="J95" s="282"/>
      <c r="K95" s="285"/>
      <c r="L95" s="15" t="str">
        <f t="shared" si="3"/>
        <v/>
      </c>
    </row>
    <row r="96" spans="1:12" x14ac:dyDescent="0.2">
      <c r="A96" s="198">
        <v>87</v>
      </c>
      <c r="B96" s="285"/>
      <c r="C96" s="285"/>
      <c r="D96" s="285"/>
      <c r="E96" s="285"/>
      <c r="F96" s="341">
        <f t="shared" si="4"/>
        <v>0</v>
      </c>
      <c r="G96" s="336"/>
      <c r="H96" s="285"/>
      <c r="I96" s="282"/>
      <c r="J96" s="282"/>
      <c r="K96" s="285"/>
      <c r="L96" s="15" t="str">
        <f t="shared" si="3"/>
        <v/>
      </c>
    </row>
    <row r="97" spans="1:12" x14ac:dyDescent="0.2">
      <c r="A97" s="198">
        <v>88</v>
      </c>
      <c r="B97" s="285"/>
      <c r="C97" s="285"/>
      <c r="D97" s="285"/>
      <c r="E97" s="285"/>
      <c r="F97" s="341">
        <f t="shared" si="4"/>
        <v>0</v>
      </c>
      <c r="G97" s="336"/>
      <c r="H97" s="285"/>
      <c r="I97" s="282"/>
      <c r="J97" s="282"/>
      <c r="K97" s="285"/>
      <c r="L97" s="15" t="str">
        <f t="shared" si="3"/>
        <v/>
      </c>
    </row>
    <row r="98" spans="1:12" x14ac:dyDescent="0.2">
      <c r="A98" s="198">
        <v>89</v>
      </c>
      <c r="B98" s="285"/>
      <c r="C98" s="285"/>
      <c r="D98" s="285"/>
      <c r="E98" s="285"/>
      <c r="F98" s="341">
        <f t="shared" si="4"/>
        <v>0</v>
      </c>
      <c r="G98" s="336"/>
      <c r="H98" s="285"/>
      <c r="I98" s="282"/>
      <c r="J98" s="282"/>
      <c r="K98" s="285"/>
      <c r="L98" s="15" t="str">
        <f t="shared" si="3"/>
        <v/>
      </c>
    </row>
    <row r="99" spans="1:12" x14ac:dyDescent="0.2">
      <c r="A99" s="198">
        <v>90</v>
      </c>
      <c r="B99" s="285"/>
      <c r="C99" s="285"/>
      <c r="D99" s="285"/>
      <c r="E99" s="285"/>
      <c r="F99" s="341">
        <f t="shared" si="4"/>
        <v>0</v>
      </c>
      <c r="G99" s="336"/>
      <c r="H99" s="285"/>
      <c r="I99" s="282"/>
      <c r="J99" s="282"/>
      <c r="K99" s="285"/>
      <c r="L99" s="15" t="str">
        <f t="shared" si="3"/>
        <v/>
      </c>
    </row>
    <row r="100" spans="1:12" x14ac:dyDescent="0.2">
      <c r="A100" s="198">
        <v>91</v>
      </c>
      <c r="B100" s="285"/>
      <c r="C100" s="285"/>
      <c r="D100" s="285"/>
      <c r="E100" s="285"/>
      <c r="F100" s="341">
        <f t="shared" si="4"/>
        <v>0</v>
      </c>
      <c r="G100" s="336"/>
      <c r="H100" s="285"/>
      <c r="I100" s="282"/>
      <c r="J100" s="282"/>
      <c r="K100" s="285"/>
      <c r="L100" s="15" t="str">
        <f t="shared" si="3"/>
        <v/>
      </c>
    </row>
    <row r="101" spans="1:12" x14ac:dyDescent="0.2">
      <c r="A101" s="198">
        <v>92</v>
      </c>
      <c r="B101" s="285"/>
      <c r="C101" s="285"/>
      <c r="D101" s="285"/>
      <c r="E101" s="285"/>
      <c r="F101" s="341">
        <f t="shared" si="4"/>
        <v>0</v>
      </c>
      <c r="G101" s="336"/>
      <c r="H101" s="285"/>
      <c r="I101" s="282"/>
      <c r="J101" s="282"/>
      <c r="K101" s="285"/>
      <c r="L101" s="15" t="str">
        <f t="shared" si="3"/>
        <v/>
      </c>
    </row>
    <row r="102" spans="1:12" x14ac:dyDescent="0.2">
      <c r="A102" s="198">
        <v>93</v>
      </c>
      <c r="B102" s="285"/>
      <c r="C102" s="285"/>
      <c r="D102" s="285"/>
      <c r="E102" s="285"/>
      <c r="F102" s="341">
        <f t="shared" si="4"/>
        <v>0</v>
      </c>
      <c r="G102" s="336"/>
      <c r="H102" s="285"/>
      <c r="I102" s="282"/>
      <c r="J102" s="282"/>
      <c r="K102" s="285"/>
      <c r="L102" s="15" t="str">
        <f t="shared" si="3"/>
        <v/>
      </c>
    </row>
    <row r="103" spans="1:12" x14ac:dyDescent="0.2">
      <c r="A103" s="198">
        <v>94</v>
      </c>
      <c r="B103" s="285"/>
      <c r="C103" s="285"/>
      <c r="D103" s="285"/>
      <c r="E103" s="285"/>
      <c r="F103" s="341">
        <f t="shared" si="4"/>
        <v>0</v>
      </c>
      <c r="G103" s="336"/>
      <c r="H103" s="285"/>
      <c r="I103" s="282"/>
      <c r="J103" s="282"/>
      <c r="K103" s="285"/>
      <c r="L103" s="15" t="str">
        <f t="shared" si="3"/>
        <v/>
      </c>
    </row>
    <row r="104" spans="1:12" x14ac:dyDescent="0.2">
      <c r="A104" s="198">
        <v>95</v>
      </c>
      <c r="B104" s="285"/>
      <c r="C104" s="285"/>
      <c r="D104" s="285"/>
      <c r="E104" s="285"/>
      <c r="F104" s="341">
        <f t="shared" si="4"/>
        <v>0</v>
      </c>
      <c r="G104" s="336"/>
      <c r="H104" s="285"/>
      <c r="I104" s="282"/>
      <c r="J104" s="282"/>
      <c r="K104" s="285"/>
      <c r="L104" s="15" t="str">
        <f t="shared" si="3"/>
        <v/>
      </c>
    </row>
    <row r="105" spans="1:12" x14ac:dyDescent="0.2">
      <c r="A105" s="198">
        <v>96</v>
      </c>
      <c r="B105" s="285"/>
      <c r="C105" s="285"/>
      <c r="D105" s="285"/>
      <c r="E105" s="285"/>
      <c r="F105" s="341">
        <f t="shared" si="4"/>
        <v>0</v>
      </c>
      <c r="G105" s="336"/>
      <c r="H105" s="285"/>
      <c r="I105" s="282"/>
      <c r="J105" s="282"/>
      <c r="K105" s="285"/>
      <c r="L105" s="15" t="str">
        <f t="shared" si="3"/>
        <v/>
      </c>
    </row>
    <row r="106" spans="1:12" x14ac:dyDescent="0.2">
      <c r="A106" s="198">
        <v>97</v>
      </c>
      <c r="B106" s="285"/>
      <c r="C106" s="285"/>
      <c r="D106" s="285"/>
      <c r="E106" s="285"/>
      <c r="F106" s="341">
        <f t="shared" si="4"/>
        <v>0</v>
      </c>
      <c r="G106" s="336"/>
      <c r="H106" s="285"/>
      <c r="I106" s="282"/>
      <c r="J106" s="282"/>
      <c r="K106" s="285"/>
      <c r="L106" s="15" t="str">
        <f t="shared" si="3"/>
        <v/>
      </c>
    </row>
    <row r="107" spans="1:12" x14ac:dyDescent="0.2">
      <c r="A107" s="198">
        <v>98</v>
      </c>
      <c r="B107" s="285"/>
      <c r="C107" s="285"/>
      <c r="D107" s="285"/>
      <c r="E107" s="285"/>
      <c r="F107" s="341">
        <f t="shared" si="4"/>
        <v>0</v>
      </c>
      <c r="G107" s="336"/>
      <c r="H107" s="285"/>
      <c r="I107" s="282"/>
      <c r="J107" s="282"/>
      <c r="K107" s="285"/>
      <c r="L107" s="15" t="str">
        <f t="shared" si="3"/>
        <v/>
      </c>
    </row>
    <row r="108" spans="1:12" x14ac:dyDescent="0.2">
      <c r="A108" s="198">
        <v>99</v>
      </c>
      <c r="B108" s="285"/>
      <c r="C108" s="285"/>
      <c r="D108" s="285"/>
      <c r="E108" s="285"/>
      <c r="F108" s="341">
        <f t="shared" si="4"/>
        <v>0</v>
      </c>
      <c r="G108" s="336"/>
      <c r="H108" s="285"/>
      <c r="I108" s="282"/>
      <c r="J108" s="282"/>
      <c r="K108" s="285"/>
      <c r="L108" s="15" t="str">
        <f t="shared" si="3"/>
        <v/>
      </c>
    </row>
    <row r="109" spans="1:12" x14ac:dyDescent="0.2">
      <c r="A109" s="198">
        <v>100</v>
      </c>
      <c r="B109" s="285"/>
      <c r="C109" s="285"/>
      <c r="D109" s="285"/>
      <c r="E109" s="285"/>
      <c r="F109" s="341">
        <f t="shared" si="4"/>
        <v>0</v>
      </c>
      <c r="G109" s="336"/>
      <c r="H109" s="285"/>
      <c r="I109" s="282"/>
      <c r="J109" s="282"/>
      <c r="K109" s="285"/>
      <c r="L109" s="15" t="str">
        <f t="shared" si="3"/>
        <v/>
      </c>
    </row>
    <row r="110" spans="1:12" x14ac:dyDescent="0.2">
      <c r="L110" s="15" t="str">
        <f>IF(H110="","",IF(COUNTIF(list_of_activities_filtered,H110)=0,"Activity not defined!/Aktivita nebola definovaná",H110))</f>
        <v/>
      </c>
    </row>
  </sheetData>
  <sheetProtection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61"/>
  <sheetViews>
    <sheetView showGridLines="0" view="pageBreakPreview" topLeftCell="A52" zoomScale="115" zoomScaleNormal="100" zoomScaleSheetLayoutView="115" workbookViewId="0">
      <selection activeCell="K63" sqref="K63"/>
    </sheetView>
  </sheetViews>
  <sheetFormatPr defaultRowHeight="11.25" x14ac:dyDescent="0.2"/>
  <cols>
    <col min="1" max="1" width="29.42578125" style="302" customWidth="1"/>
    <col min="2" max="10" width="16.28515625" style="302" customWidth="1"/>
    <col min="11" max="12" width="18.7109375" style="302" customWidth="1"/>
    <col min="13" max="16384" width="9.140625" style="302"/>
  </cols>
  <sheetData>
    <row r="1" spans="1:16" s="290" customFormat="1" ht="28.5" customHeight="1" thickBot="1" x14ac:dyDescent="0.25">
      <c r="A1" s="286" t="s">
        <v>1437</v>
      </c>
      <c r="B1" s="287"/>
      <c r="C1" s="288"/>
      <c r="D1" s="288"/>
      <c r="E1" s="288"/>
      <c r="F1" s="288"/>
      <c r="G1" s="288"/>
      <c r="H1" s="289" t="s">
        <v>1363</v>
      </c>
      <c r="I1" s="289" t="s">
        <v>1364</v>
      </c>
      <c r="J1" s="220"/>
      <c r="K1" s="220"/>
      <c r="L1" s="221"/>
      <c r="M1" s="220"/>
      <c r="N1" s="220"/>
      <c r="O1" s="220"/>
      <c r="P1" s="220"/>
    </row>
    <row r="2" spans="1:16" s="290" customFormat="1" ht="28.5" customHeight="1" thickBot="1" x14ac:dyDescent="0.25">
      <c r="A2" s="291" t="s">
        <v>1359</v>
      </c>
      <c r="B2" s="689" t="s">
        <v>1359</v>
      </c>
      <c r="C2" s="690"/>
      <c r="D2" s="690"/>
      <c r="E2" s="690"/>
      <c r="F2" s="690"/>
      <c r="G2" s="691"/>
      <c r="H2" s="292">
        <f>SUMIF($F$13:$F$21,B2,$H$13:$H$21)</f>
        <v>0</v>
      </c>
      <c r="I2" s="357" t="e">
        <f>H2/H$10</f>
        <v>#DIV/0!</v>
      </c>
      <c r="J2" s="220"/>
      <c r="K2" s="220"/>
      <c r="L2" s="221"/>
      <c r="M2" s="220"/>
      <c r="N2" s="220"/>
      <c r="O2" s="220"/>
      <c r="P2" s="220"/>
    </row>
    <row r="3" spans="1:16" s="290" customFormat="1" ht="28.5" customHeight="1" thickBot="1" x14ac:dyDescent="0.25">
      <c r="A3" s="291" t="s">
        <v>1360</v>
      </c>
      <c r="B3" s="692" t="str">
        <f>IF(ISBLANK(programme_output1),"",programme_output1)</f>
        <v>Služby a infraštruktúra poskytnutá deťom a mládeži</v>
      </c>
      <c r="C3" s="693"/>
      <c r="D3" s="693"/>
      <c r="E3" s="693"/>
      <c r="F3" s="693"/>
      <c r="G3" s="694"/>
      <c r="H3" s="292">
        <f t="shared" ref="H3:H5" si="0">SUMIF($F$13:$F$21,B3,$H$13:$H$21)</f>
        <v>0</v>
      </c>
      <c r="I3" s="357" t="e">
        <f t="shared" ref="I3:I5" si="1">H3/H$10</f>
        <v>#DIV/0!</v>
      </c>
      <c r="J3" s="220"/>
      <c r="K3" s="220"/>
      <c r="L3" s="221"/>
      <c r="M3" s="220"/>
      <c r="N3" s="220"/>
      <c r="O3" s="220"/>
      <c r="P3" s="220"/>
    </row>
    <row r="4" spans="1:16" s="290" customFormat="1" ht="28.5" customHeight="1" thickBot="1" x14ac:dyDescent="0.25">
      <c r="A4" s="291" t="s">
        <v>1361</v>
      </c>
      <c r="B4" s="692" t="str">
        <f>IF(ISBLANK(programme_output2),"",programme_output2)</f>
        <v/>
      </c>
      <c r="C4" s="693"/>
      <c r="D4" s="693"/>
      <c r="E4" s="693"/>
      <c r="F4" s="693"/>
      <c r="G4" s="694"/>
      <c r="H4" s="292">
        <f t="shared" si="0"/>
        <v>0</v>
      </c>
      <c r="I4" s="357" t="e">
        <f t="shared" si="1"/>
        <v>#DIV/0!</v>
      </c>
      <c r="J4" s="220"/>
      <c r="K4" s="220"/>
      <c r="L4" s="221"/>
      <c r="M4" s="220"/>
      <c r="N4" s="220"/>
      <c r="O4" s="220"/>
      <c r="P4" s="220"/>
    </row>
    <row r="5" spans="1:16" s="290" customFormat="1" ht="28.5" customHeight="1" thickBot="1" x14ac:dyDescent="0.25">
      <c r="A5" s="291" t="s">
        <v>1362</v>
      </c>
      <c r="B5" s="692" t="str">
        <f>IF(ISBLANK(programme_output3),"",programme_output3)</f>
        <v/>
      </c>
      <c r="C5" s="693"/>
      <c r="D5" s="693"/>
      <c r="E5" s="693"/>
      <c r="F5" s="693"/>
      <c r="G5" s="694"/>
      <c r="H5" s="292">
        <f t="shared" si="0"/>
        <v>0</v>
      </c>
      <c r="I5" s="357" t="e">
        <f t="shared" si="1"/>
        <v>#DIV/0!</v>
      </c>
      <c r="J5" s="220"/>
      <c r="K5" s="220"/>
      <c r="L5" s="221"/>
      <c r="M5" s="220"/>
      <c r="N5" s="220"/>
      <c r="O5" s="220"/>
      <c r="P5" s="220"/>
    </row>
    <row r="6" spans="1:16" s="290" customFormat="1" ht="28.5" customHeight="1" thickBot="1" x14ac:dyDescent="0.25">
      <c r="A6" s="293"/>
      <c r="B6" s="294"/>
      <c r="C6" s="295"/>
      <c r="D6" s="295"/>
      <c r="E6" s="295"/>
      <c r="F6" s="295"/>
      <c r="G6" s="296" t="s">
        <v>1365</v>
      </c>
      <c r="H6" s="297">
        <f>SUM(H2:H5)</f>
        <v>0</v>
      </c>
      <c r="I6" s="220"/>
      <c r="J6" s="220"/>
      <c r="K6" s="220"/>
      <c r="L6" s="221"/>
      <c r="M6" s="220"/>
      <c r="N6" s="220"/>
      <c r="O6" s="220"/>
      <c r="P6" s="220"/>
    </row>
    <row r="7" spans="1:16" s="290" customFormat="1" ht="28.5" customHeight="1" thickBot="1" x14ac:dyDescent="0.25">
      <c r="A7" s="293"/>
      <c r="B7" s="294"/>
      <c r="C7" s="295"/>
      <c r="D7" s="295"/>
      <c r="E7" s="295"/>
      <c r="F7" s="295"/>
      <c r="G7" s="296" t="s">
        <v>1366</v>
      </c>
      <c r="H7" s="297">
        <f>indirect_costs_total</f>
        <v>0</v>
      </c>
      <c r="I7" s="220"/>
      <c r="J7" s="220"/>
      <c r="K7" s="220"/>
      <c r="L7" s="221"/>
      <c r="M7" s="220"/>
      <c r="N7" s="220"/>
      <c r="O7" s="220"/>
      <c r="P7" s="220"/>
    </row>
    <row r="8" spans="1:16" s="290" customFormat="1" ht="28.5" customHeight="1" thickBot="1" x14ac:dyDescent="0.25">
      <c r="A8" s="293"/>
      <c r="B8" s="294"/>
      <c r="C8" s="295"/>
      <c r="D8" s="295"/>
      <c r="E8" s="295"/>
      <c r="F8" s="295"/>
      <c r="G8" s="296" t="s">
        <v>1367</v>
      </c>
      <c r="H8" s="297">
        <f>reserve_total</f>
        <v>0</v>
      </c>
      <c r="I8" s="220"/>
      <c r="J8" s="220"/>
      <c r="K8" s="220"/>
      <c r="L8" s="221"/>
      <c r="M8" s="220"/>
      <c r="N8" s="220"/>
      <c r="O8" s="220"/>
      <c r="P8" s="220"/>
    </row>
    <row r="9" spans="1:16" s="290" customFormat="1" ht="28.5" customHeight="1" thickBot="1" x14ac:dyDescent="0.25">
      <c r="A9" s="293"/>
      <c r="B9" s="294"/>
      <c r="C9" s="295"/>
      <c r="D9" s="295"/>
      <c r="E9" s="295"/>
      <c r="F9" s="295"/>
      <c r="G9" s="296" t="s">
        <v>1368</v>
      </c>
      <c r="H9" s="297">
        <f>in_kind_total</f>
        <v>0</v>
      </c>
      <c r="I9" s="220"/>
      <c r="J9" s="220"/>
      <c r="K9" s="220"/>
      <c r="L9" s="221"/>
      <c r="M9" s="220"/>
      <c r="N9" s="220"/>
      <c r="O9" s="220"/>
      <c r="P9" s="220"/>
    </row>
    <row r="10" spans="1:16" s="290" customFormat="1" ht="28.5" customHeight="1" thickBot="1" x14ac:dyDescent="0.25">
      <c r="A10" s="293"/>
      <c r="B10" s="288"/>
      <c r="C10" s="288"/>
      <c r="D10" s="288"/>
      <c r="E10" s="288"/>
      <c r="F10" s="288"/>
      <c r="G10" s="296" t="s">
        <v>1369</v>
      </c>
      <c r="H10" s="297">
        <f>SUM(H6:H9)</f>
        <v>0</v>
      </c>
      <c r="I10" s="222" t="s">
        <v>157</v>
      </c>
      <c r="J10" s="220"/>
      <c r="K10" s="220"/>
      <c r="L10" s="221"/>
      <c r="M10" s="220"/>
      <c r="N10" s="220"/>
      <c r="O10" s="220"/>
      <c r="P10" s="220"/>
    </row>
    <row r="11" spans="1:16" s="290" customFormat="1" ht="28.5" customHeight="1" x14ac:dyDescent="0.2">
      <c r="A11" s="293"/>
      <c r="B11" s="288"/>
      <c r="C11" s="288"/>
      <c r="D11" s="405"/>
      <c r="E11" s="288"/>
      <c r="F11" s="288"/>
      <c r="G11" s="288"/>
      <c r="H11" s="298"/>
      <c r="I11" s="220"/>
      <c r="J11" s="220"/>
      <c r="K11" s="220"/>
      <c r="L11" s="221"/>
      <c r="M11" s="220"/>
      <c r="N11" s="220"/>
      <c r="O11" s="220"/>
      <c r="P11" s="220"/>
    </row>
    <row r="12" spans="1:16" s="290" customFormat="1" ht="28.5" customHeight="1" thickBot="1" x14ac:dyDescent="0.25">
      <c r="A12" s="286" t="s">
        <v>1372</v>
      </c>
      <c r="B12" s="287"/>
      <c r="C12" s="288"/>
      <c r="D12" s="288"/>
      <c r="E12" s="288"/>
      <c r="F12" s="288"/>
      <c r="G12" s="289" t="s">
        <v>1370</v>
      </c>
      <c r="H12" s="289" t="s">
        <v>1363</v>
      </c>
      <c r="I12" s="289" t="s">
        <v>1364</v>
      </c>
      <c r="J12" s="289" t="s">
        <v>1371</v>
      </c>
      <c r="K12" s="220"/>
      <c r="L12" s="221"/>
      <c r="M12" s="220"/>
      <c r="N12" s="220"/>
      <c r="O12" s="220"/>
      <c r="P12" s="220"/>
    </row>
    <row r="13" spans="1:16" s="290" customFormat="1" ht="28.5" customHeight="1" thickBot="1" x14ac:dyDescent="0.25">
      <c r="A13" s="291" t="s">
        <v>1359</v>
      </c>
      <c r="B13" s="367" t="s">
        <v>1359</v>
      </c>
      <c r="C13" s="368"/>
      <c r="D13" s="368"/>
      <c r="E13" s="403"/>
      <c r="F13" s="701" t="s">
        <v>1359</v>
      </c>
      <c r="G13" s="698"/>
      <c r="H13" s="299">
        <f t="array" ref="H13">SUM(IF(B13="",0,IF(Activities_Column=A13,Amount_Column,0)))</f>
        <v>0</v>
      </c>
      <c r="I13" s="357" t="e">
        <f>H13/H$26</f>
        <v>#DIV/0!</v>
      </c>
      <c r="J13" s="406" t="str">
        <f>B13</f>
        <v>Riadenie projektu</v>
      </c>
      <c r="K13" s="220"/>
      <c r="L13" s="221"/>
      <c r="M13" s="220"/>
      <c r="N13" s="220"/>
      <c r="O13" s="220"/>
      <c r="P13" s="220"/>
    </row>
    <row r="14" spans="1:16" s="290" customFormat="1" ht="28.5" customHeight="1" thickBot="1" x14ac:dyDescent="0.25">
      <c r="A14" s="291" t="s">
        <v>1373</v>
      </c>
      <c r="B14" s="362" t="str">
        <f>IF(ISBLANK(Activity1_Name),"",Activity1_Name)</f>
        <v/>
      </c>
      <c r="C14" s="301"/>
      <c r="D14" s="301"/>
      <c r="E14" s="404"/>
      <c r="F14" s="697">
        <f>output_relates_activity1</f>
        <v>0</v>
      </c>
      <c r="G14" s="698"/>
      <c r="H14" s="299">
        <f t="array" ref="H14">SUM(IF(B14="",0,IF(Activities_Column=A14,Amount_Column,0)))</f>
        <v>0</v>
      </c>
      <c r="I14" s="357" t="e">
        <f t="shared" ref="I14:I21" si="2">H14/H$26</f>
        <v>#DIV/0!</v>
      </c>
      <c r="J14" s="406" t="str">
        <f t="array" ref="J14">IFERROR(INDEX($A$13:$A$21,SMALL(IF(LEN($B$13:$B$21)&gt;2,ROW($A$1:$A$9),""),ROW(B2))),"")</f>
        <v/>
      </c>
      <c r="K14" s="220"/>
      <c r="L14" s="221"/>
      <c r="M14" s="220"/>
      <c r="N14" s="220"/>
      <c r="O14" s="220"/>
      <c r="P14" s="220"/>
    </row>
    <row r="15" spans="1:16" s="290" customFormat="1" ht="28.5" customHeight="1" thickBot="1" x14ac:dyDescent="0.25">
      <c r="A15" s="291" t="s">
        <v>1374</v>
      </c>
      <c r="B15" s="362" t="str">
        <f>IF(ISBLANK(Activity2_Name),"",Activity2_Name)</f>
        <v/>
      </c>
      <c r="C15" s="301"/>
      <c r="D15" s="301"/>
      <c r="E15" s="404"/>
      <c r="F15" s="699">
        <f>output_relates_activity2</f>
        <v>0</v>
      </c>
      <c r="G15" s="700"/>
      <c r="H15" s="299">
        <f t="array" ref="H15">SUM(IF(B15="",0,IF(Activities_Column=A15,Amount_Column,0)))</f>
        <v>0</v>
      </c>
      <c r="I15" s="357" t="e">
        <f t="shared" si="2"/>
        <v>#DIV/0!</v>
      </c>
      <c r="J15" s="406" t="str">
        <f t="array" ref="J15">IFERROR(INDEX($A$13:$A$21,SMALL(IF(LEN($B$13:$B$21)&gt;2,ROW($A$1:$A$9),""),ROW(B3))),"")</f>
        <v/>
      </c>
      <c r="K15" s="220"/>
      <c r="L15" s="221"/>
      <c r="M15" s="220"/>
      <c r="N15" s="220"/>
      <c r="O15" s="220"/>
      <c r="P15" s="220"/>
    </row>
    <row r="16" spans="1:16" s="290" customFormat="1" ht="28.5" customHeight="1" thickBot="1" x14ac:dyDescent="0.25">
      <c r="A16" s="291" t="s">
        <v>1375</v>
      </c>
      <c r="B16" s="362" t="str">
        <f>IF(ISBLANK(Activity3_Name),"",Activity3_Name)</f>
        <v/>
      </c>
      <c r="C16" s="301"/>
      <c r="D16" s="301"/>
      <c r="E16" s="404"/>
      <c r="F16" s="699">
        <f>output_relates_activity3</f>
        <v>0</v>
      </c>
      <c r="G16" s="700"/>
      <c r="H16" s="299">
        <f t="array" ref="H16">SUM(IF(B16="",0,IF(Activities_Column=A16,Amount_Column,0)))</f>
        <v>0</v>
      </c>
      <c r="I16" s="357" t="e">
        <f t="shared" si="2"/>
        <v>#DIV/0!</v>
      </c>
      <c r="J16" s="406" t="str">
        <f t="array" ref="J16">IFERROR(INDEX($A$13:$A$21,SMALL(IF(LEN($B$13:$B$21)&gt;2,ROW($A$1:$A$9),""),ROW(B4))),"")</f>
        <v/>
      </c>
      <c r="K16" s="220"/>
      <c r="L16" s="221"/>
      <c r="M16" s="220"/>
      <c r="N16" s="220"/>
      <c r="O16" s="220"/>
      <c r="P16" s="220"/>
    </row>
    <row r="17" spans="1:16" s="290" customFormat="1" ht="28.5" customHeight="1" thickBot="1" x14ac:dyDescent="0.25">
      <c r="A17" s="291" t="s">
        <v>1376</v>
      </c>
      <c r="B17" s="362" t="str">
        <f>IF(ISBLANK(Activity4_Name),"",Activity4_Name)</f>
        <v/>
      </c>
      <c r="C17" s="301"/>
      <c r="D17" s="301"/>
      <c r="E17" s="404"/>
      <c r="F17" s="699">
        <f>output_relates_activity4</f>
        <v>0</v>
      </c>
      <c r="G17" s="700"/>
      <c r="H17" s="299">
        <f t="array" ref="H17">SUM(IF(B17="",0,IF(Activities_Column=A17,Amount_Column,0)))</f>
        <v>0</v>
      </c>
      <c r="I17" s="357" t="e">
        <f t="shared" si="2"/>
        <v>#DIV/0!</v>
      </c>
      <c r="J17" s="406" t="str">
        <f t="array" ref="J17">IFERROR(INDEX($A$13:$A$21,SMALL(IF(LEN($B$13:$B$21)&gt;2,ROW($A$1:$A$9),""),ROW(B5))),"")</f>
        <v/>
      </c>
      <c r="K17" s="220"/>
      <c r="L17" s="221"/>
      <c r="M17" s="220"/>
      <c r="N17" s="220"/>
      <c r="O17" s="220"/>
      <c r="P17" s="220"/>
    </row>
    <row r="18" spans="1:16" s="290" customFormat="1" ht="28.5" customHeight="1" thickBot="1" x14ac:dyDescent="0.25">
      <c r="A18" s="291" t="s">
        <v>1377</v>
      </c>
      <c r="B18" s="362" t="str">
        <f>IF(ISBLANK(Activity5_Name),"",Activity5_Name)</f>
        <v/>
      </c>
      <c r="C18" s="301"/>
      <c r="D18" s="301"/>
      <c r="E18" s="404"/>
      <c r="F18" s="699">
        <f>output_relates_activity5</f>
        <v>0</v>
      </c>
      <c r="G18" s="700"/>
      <c r="H18" s="299">
        <f t="array" ref="H18">SUM(IF(B18="",0,IF(Activities_Column=A18,Amount_Column,0)))</f>
        <v>0</v>
      </c>
      <c r="I18" s="357" t="e">
        <f t="shared" si="2"/>
        <v>#DIV/0!</v>
      </c>
      <c r="J18" s="406" t="str">
        <f t="array" ref="J18">IFERROR(INDEX($A$13:$A$21,SMALL(IF(LEN($B$13:$B$21)&gt;2,ROW($A$1:$A$9),""),ROW(B6))),"")</f>
        <v/>
      </c>
      <c r="K18" s="220"/>
      <c r="L18" s="221"/>
      <c r="M18" s="220"/>
      <c r="N18" s="220"/>
      <c r="O18" s="220"/>
      <c r="P18" s="220"/>
    </row>
    <row r="19" spans="1:16" s="290" customFormat="1" ht="28.5" customHeight="1" thickBot="1" x14ac:dyDescent="0.25">
      <c r="A19" s="291" t="s">
        <v>1378</v>
      </c>
      <c r="B19" s="362" t="str">
        <f>IF(ISBLANK(Activity6_Name),"",Activity6_Name)</f>
        <v/>
      </c>
      <c r="C19" s="301"/>
      <c r="D19" s="301"/>
      <c r="E19" s="404"/>
      <c r="F19" s="699">
        <f>output_relates_activity6</f>
        <v>0</v>
      </c>
      <c r="G19" s="700"/>
      <c r="H19" s="299">
        <f t="array" ref="H19">SUM(IF(B19="",0,IF(Activities_Column=A19,Amount_Column,0)))</f>
        <v>0</v>
      </c>
      <c r="I19" s="357" t="e">
        <f t="shared" si="2"/>
        <v>#DIV/0!</v>
      </c>
      <c r="J19" s="406" t="str">
        <f t="array" ref="J19">IFERROR(INDEX($A$13:$A$21,SMALL(IF(LEN($B$13:$B$21)&gt;2,ROW($A$1:$A$9),""),ROW(B7))),"")</f>
        <v/>
      </c>
      <c r="K19" s="220"/>
      <c r="L19" s="221"/>
      <c r="M19" s="220"/>
      <c r="N19" s="220"/>
      <c r="O19" s="220"/>
      <c r="P19" s="220"/>
    </row>
    <row r="20" spans="1:16" s="290" customFormat="1" ht="28.5" customHeight="1" thickBot="1" x14ac:dyDescent="0.25">
      <c r="A20" s="291" t="s">
        <v>1379</v>
      </c>
      <c r="B20" s="362" t="str">
        <f>IF(ISBLANK(Activity7_Name),"",Activity7_Name)</f>
        <v/>
      </c>
      <c r="C20" s="301"/>
      <c r="D20" s="301"/>
      <c r="E20" s="404"/>
      <c r="F20" s="699">
        <f>output_relates_activity7</f>
        <v>0</v>
      </c>
      <c r="G20" s="700"/>
      <c r="H20" s="299">
        <f t="array" ref="H20">SUM(IF(B20="",0,IF(Activities_Column=A20,Amount_Column,0)))</f>
        <v>0</v>
      </c>
      <c r="I20" s="357" t="e">
        <f t="shared" si="2"/>
        <v>#DIV/0!</v>
      </c>
      <c r="J20" s="406" t="str">
        <f t="array" ref="J20">IFERROR(INDEX($A$13:$A$21,SMALL(IF(LEN($B$13:$B$21)&gt;2,ROW($A$1:$A$9),""),ROW(B8))),"")</f>
        <v/>
      </c>
      <c r="K20" s="220"/>
      <c r="L20" s="221"/>
      <c r="M20" s="220"/>
      <c r="N20" s="220"/>
      <c r="O20" s="220"/>
      <c r="P20" s="220"/>
    </row>
    <row r="21" spans="1:16" s="290" customFormat="1" ht="28.5" customHeight="1" thickBot="1" x14ac:dyDescent="0.25">
      <c r="A21" s="291" t="s">
        <v>1380</v>
      </c>
      <c r="B21" s="362" t="str">
        <f>IF(ISBLANK(Activity8_Name),"",Activity8_Name)</f>
        <v/>
      </c>
      <c r="C21" s="301"/>
      <c r="D21" s="301"/>
      <c r="E21" s="404"/>
      <c r="F21" s="699">
        <f>output_relates_activity8</f>
        <v>0</v>
      </c>
      <c r="G21" s="700"/>
      <c r="H21" s="299">
        <f t="array" ref="H21">SUM(IF(B21="",0,IF(Activities_Column=A21,Amount_Column,0)))</f>
        <v>0</v>
      </c>
      <c r="I21" s="357" t="e">
        <f t="shared" si="2"/>
        <v>#DIV/0!</v>
      </c>
      <c r="J21" s="406" t="str">
        <f t="array" ref="J21">IFERROR(INDEX($A$13:$A$21,SMALL(IF(LEN($B$13:$B$21)&gt;2,ROW($A$1:$A$9),""),ROW(B9))),"")</f>
        <v/>
      </c>
      <c r="K21" s="220"/>
      <c r="L21" s="221"/>
      <c r="M21" s="220"/>
      <c r="N21" s="220"/>
      <c r="O21" s="220"/>
      <c r="P21" s="220"/>
    </row>
    <row r="22" spans="1:16" s="290" customFormat="1" ht="28.5" customHeight="1" thickBot="1" x14ac:dyDescent="0.25">
      <c r="A22" s="293"/>
      <c r="B22" s="294"/>
      <c r="C22" s="295"/>
      <c r="D22" s="295"/>
      <c r="E22" s="295"/>
      <c r="F22" s="295"/>
      <c r="G22" s="296" t="s">
        <v>1365</v>
      </c>
      <c r="H22" s="297">
        <f>SUM(H13:H21)</f>
        <v>0</v>
      </c>
      <c r="I22" s="220"/>
      <c r="J22" s="220"/>
      <c r="K22" s="220"/>
      <c r="L22" s="221"/>
      <c r="M22" s="220"/>
      <c r="N22" s="220"/>
      <c r="O22" s="220"/>
      <c r="P22" s="220"/>
    </row>
    <row r="23" spans="1:16" s="290" customFormat="1" ht="28.5" customHeight="1" thickBot="1" x14ac:dyDescent="0.25">
      <c r="A23" s="293"/>
      <c r="B23" s="294"/>
      <c r="C23" s="295"/>
      <c r="D23" s="295"/>
      <c r="E23" s="295"/>
      <c r="F23" s="295"/>
      <c r="G23" s="296" t="s">
        <v>1366</v>
      </c>
      <c r="H23" s="297">
        <f>amount_indirect_costs</f>
        <v>0</v>
      </c>
      <c r="I23" s="220"/>
      <c r="J23" s="220"/>
      <c r="K23" s="220"/>
      <c r="L23" s="221"/>
      <c r="M23" s="220"/>
      <c r="N23" s="220"/>
      <c r="O23" s="220"/>
      <c r="P23" s="220"/>
    </row>
    <row r="24" spans="1:16" s="290" customFormat="1" ht="28.5" customHeight="1" thickBot="1" x14ac:dyDescent="0.25">
      <c r="A24" s="293"/>
      <c r="B24" s="294"/>
      <c r="C24" s="295"/>
      <c r="D24" s="295"/>
      <c r="E24" s="295"/>
      <c r="F24" s="295"/>
      <c r="G24" s="296" t="s">
        <v>1367</v>
      </c>
      <c r="H24" s="297">
        <f>reserve_total</f>
        <v>0</v>
      </c>
      <c r="I24" s="220"/>
      <c r="J24" s="220"/>
      <c r="K24" s="220"/>
      <c r="L24" s="221"/>
      <c r="M24" s="220"/>
      <c r="N24" s="220"/>
      <c r="O24" s="220"/>
      <c r="P24" s="220"/>
    </row>
    <row r="25" spans="1:16" s="290" customFormat="1" ht="28.5" customHeight="1" thickBot="1" x14ac:dyDescent="0.25">
      <c r="A25" s="293"/>
      <c r="B25" s="294"/>
      <c r="C25" s="295"/>
      <c r="D25" s="295"/>
      <c r="E25" s="295"/>
      <c r="F25" s="295"/>
      <c r="G25" s="296" t="s">
        <v>1368</v>
      </c>
      <c r="H25" s="297">
        <f>in_kind_total</f>
        <v>0</v>
      </c>
      <c r="I25" s="220"/>
      <c r="J25" s="220"/>
      <c r="K25" s="220"/>
      <c r="L25" s="221"/>
      <c r="M25" s="220"/>
      <c r="N25" s="220"/>
      <c r="O25" s="220"/>
      <c r="P25" s="220"/>
    </row>
    <row r="26" spans="1:16" s="290" customFormat="1" ht="28.5" customHeight="1" thickBot="1" x14ac:dyDescent="0.25">
      <c r="A26" s="293"/>
      <c r="B26" s="288"/>
      <c r="C26" s="288"/>
      <c r="D26" s="288"/>
      <c r="E26" s="288"/>
      <c r="F26" s="288"/>
      <c r="G26" s="296" t="s">
        <v>1369</v>
      </c>
      <c r="H26" s="297">
        <f>SUM(H22:H25)</f>
        <v>0</v>
      </c>
      <c r="I26" s="222" t="s">
        <v>331</v>
      </c>
      <c r="J26" s="220"/>
      <c r="K26" s="220"/>
      <c r="L26" s="221"/>
      <c r="M26" s="220"/>
      <c r="N26" s="220"/>
      <c r="O26" s="220"/>
      <c r="P26" s="220"/>
    </row>
    <row r="27" spans="1:16" ht="28.5" customHeight="1" x14ac:dyDescent="0.2"/>
    <row r="28" spans="1:16" s="290" customFormat="1" ht="42" customHeight="1" thickBot="1" x14ac:dyDescent="0.25">
      <c r="A28" s="286" t="s">
        <v>1425</v>
      </c>
      <c r="B28" s="287"/>
      <c r="C28" s="288"/>
      <c r="D28" s="288"/>
      <c r="E28" s="288"/>
      <c r="F28" s="288"/>
      <c r="G28" s="289"/>
      <c r="H28" s="289" t="s">
        <v>1363</v>
      </c>
      <c r="I28" s="289" t="s">
        <v>1364</v>
      </c>
      <c r="J28" s="289" t="s">
        <v>1426</v>
      </c>
      <c r="K28" s="289" t="s">
        <v>1427</v>
      </c>
      <c r="L28" s="221"/>
      <c r="M28" s="220"/>
      <c r="N28" s="220"/>
      <c r="O28" s="220"/>
      <c r="P28" s="220"/>
    </row>
    <row r="29" spans="1:16" s="290" customFormat="1" ht="28.5" customHeight="1" thickBot="1" x14ac:dyDescent="0.25">
      <c r="A29" s="291" t="s">
        <v>1413</v>
      </c>
      <c r="B29" s="362" t="s">
        <v>1381</v>
      </c>
      <c r="C29" s="300"/>
      <c r="D29" s="301"/>
      <c r="E29" s="303" t="s">
        <v>1388</v>
      </c>
      <c r="F29" s="301"/>
      <c r="G29" s="304"/>
      <c r="H29" s="299">
        <f t="array" ref="H29">SUM(IF(B29="",0,IF(Budget_Headings_Column=B29,Amount_Column,0)))</f>
        <v>0</v>
      </c>
      <c r="I29" s="357" t="e">
        <f t="shared" ref="I29:I40" si="3">ROUND(H29/total_eligible_expenditure_total,2)</f>
        <v>#DIV/0!</v>
      </c>
      <c r="J29" s="299">
        <f>amount_budget_heading1+amount_budget_heading2+amount_budget_heading3+reserve_total</f>
        <v>0</v>
      </c>
      <c r="K29" s="299">
        <f>SUM(H32:H40)+indirect_costs_total+in_kind_total</f>
        <v>0</v>
      </c>
      <c r="L29" s="221"/>
      <c r="M29" s="220"/>
      <c r="N29" s="220"/>
      <c r="O29" s="220"/>
      <c r="P29" s="220"/>
    </row>
    <row r="30" spans="1:16" s="290" customFormat="1" ht="28.5" customHeight="1" thickBot="1" x14ac:dyDescent="0.25">
      <c r="A30" s="291" t="s">
        <v>1414</v>
      </c>
      <c r="B30" s="362" t="s">
        <v>1382</v>
      </c>
      <c r="C30" s="301"/>
      <c r="D30" s="301"/>
      <c r="E30" s="303" t="s">
        <v>1389</v>
      </c>
      <c r="F30" s="301"/>
      <c r="G30" s="304"/>
      <c r="H30" s="299">
        <f t="array" ref="H30">SUM(IF(B30="",0,IF(Budget_Headings_Column=B30,Amount_Column,0)))</f>
        <v>0</v>
      </c>
      <c r="I30" s="357" t="e">
        <f t="shared" si="3"/>
        <v>#DIV/0!</v>
      </c>
      <c r="J30" s="357" t="e">
        <f>ROUND(infrastructure_costs_total/total_eligible_expenditure_total,2)</f>
        <v>#DIV/0!</v>
      </c>
      <c r="K30" s="357" t="e">
        <f>ROUND(non_investment_costs_total/total_eligible_expenditure_total,2)</f>
        <v>#DIV/0!</v>
      </c>
      <c r="L30" s="221"/>
      <c r="M30" s="220"/>
      <c r="N30" s="220"/>
      <c r="O30" s="220"/>
      <c r="P30" s="220"/>
    </row>
    <row r="31" spans="1:16" s="290" customFormat="1" ht="28.5" customHeight="1" thickBot="1" x14ac:dyDescent="0.25">
      <c r="A31" s="291" t="s">
        <v>1415</v>
      </c>
      <c r="B31" s="362" t="s">
        <v>1383</v>
      </c>
      <c r="C31" s="301"/>
      <c r="D31" s="301"/>
      <c r="E31" s="303" t="s">
        <v>1390</v>
      </c>
      <c r="F31" s="301"/>
      <c r="G31" s="304"/>
      <c r="H31" s="299">
        <f t="array" ref="H31">SUM(IF(B31="",0,IF(Budget_Headings_Column=B31,Amount_Column,0)))</f>
        <v>0</v>
      </c>
      <c r="I31" s="357" t="e">
        <f t="shared" si="3"/>
        <v>#DIV/0!</v>
      </c>
      <c r="J31" s="220"/>
      <c r="K31" s="220"/>
      <c r="L31" s="221"/>
      <c r="M31" s="220"/>
      <c r="N31" s="220"/>
      <c r="O31" s="220"/>
      <c r="P31" s="220"/>
    </row>
    <row r="32" spans="1:16" s="290" customFormat="1" ht="28.5" customHeight="1" thickBot="1" x14ac:dyDescent="0.25">
      <c r="A32" s="291" t="s">
        <v>1416</v>
      </c>
      <c r="B32" s="362" t="s">
        <v>1384</v>
      </c>
      <c r="C32" s="301"/>
      <c r="D32" s="301"/>
      <c r="E32" s="303" t="s">
        <v>1391</v>
      </c>
      <c r="F32" s="301"/>
      <c r="G32" s="304"/>
      <c r="H32" s="299">
        <f t="array" ref="H32">SUM(IF(B32="",0,IF(Budget_Headings_Column=B32,Amount_Column,0)))</f>
        <v>0</v>
      </c>
      <c r="I32" s="357" t="e">
        <f t="shared" si="3"/>
        <v>#DIV/0!</v>
      </c>
      <c r="J32" s="220"/>
      <c r="K32" s="220"/>
      <c r="L32" s="221"/>
      <c r="M32" s="220"/>
      <c r="N32" s="220"/>
      <c r="O32" s="220"/>
      <c r="P32" s="220"/>
    </row>
    <row r="33" spans="1:16" s="290" customFormat="1" ht="28.5" customHeight="1" thickBot="1" x14ac:dyDescent="0.25">
      <c r="A33" s="291" t="s">
        <v>1417</v>
      </c>
      <c r="B33" s="362" t="s">
        <v>1385</v>
      </c>
      <c r="C33" s="301"/>
      <c r="D33" s="301"/>
      <c r="E33" s="303" t="s">
        <v>1392</v>
      </c>
      <c r="F33" s="301"/>
      <c r="G33" s="304"/>
      <c r="H33" s="299">
        <f t="array" ref="H33">SUM(IF(B33="",0,IF(Budget_Headings_Column=B33,Amount_Column,0)))</f>
        <v>0</v>
      </c>
      <c r="I33" s="357" t="e">
        <f t="shared" si="3"/>
        <v>#DIV/0!</v>
      </c>
      <c r="J33" s="220"/>
      <c r="K33" s="220"/>
      <c r="L33" s="221"/>
      <c r="M33" s="220"/>
      <c r="N33" s="220"/>
      <c r="O33" s="220"/>
      <c r="P33" s="220"/>
    </row>
    <row r="34" spans="1:16" s="290" customFormat="1" ht="28.5" customHeight="1" thickBot="1" x14ac:dyDescent="0.25">
      <c r="A34" s="291" t="s">
        <v>1418</v>
      </c>
      <c r="B34" s="362" t="s">
        <v>1386</v>
      </c>
      <c r="C34" s="301"/>
      <c r="D34" s="301"/>
      <c r="E34" s="303" t="s">
        <v>1393</v>
      </c>
      <c r="F34" s="301"/>
      <c r="G34" s="304"/>
      <c r="H34" s="299">
        <f t="array" ref="H34">SUM(IF(B34="",0,IF(Budget_Headings_Column=B34,Amount_Column,0)))</f>
        <v>0</v>
      </c>
      <c r="I34" s="357" t="e">
        <f t="shared" si="3"/>
        <v>#DIV/0!</v>
      </c>
      <c r="J34" s="220"/>
      <c r="K34" s="220"/>
      <c r="L34" s="221"/>
      <c r="M34" s="220"/>
      <c r="N34" s="220"/>
      <c r="O34" s="220"/>
      <c r="P34" s="220"/>
    </row>
    <row r="35" spans="1:16" s="290" customFormat="1" ht="28.5" customHeight="1" thickBot="1" x14ac:dyDescent="0.25">
      <c r="A35" s="291" t="s">
        <v>1419</v>
      </c>
      <c r="B35" s="362" t="s">
        <v>1387</v>
      </c>
      <c r="C35" s="301"/>
      <c r="D35" s="301"/>
      <c r="E35" s="303" t="s">
        <v>1394</v>
      </c>
      <c r="F35" s="301"/>
      <c r="G35" s="304"/>
      <c r="H35" s="299">
        <f t="array" ref="H35">SUM(IF(B35="",0,IF(Budget_Headings_Column=B35,Amount_Column,0)))</f>
        <v>0</v>
      </c>
      <c r="I35" s="357" t="e">
        <f t="shared" si="3"/>
        <v>#DIV/0!</v>
      </c>
      <c r="J35" s="220"/>
      <c r="K35" s="220"/>
      <c r="L35" s="221"/>
      <c r="M35" s="220"/>
      <c r="N35" s="220"/>
      <c r="O35" s="220"/>
      <c r="P35" s="220"/>
    </row>
    <row r="36" spans="1:16" s="290" customFormat="1" ht="28.5" customHeight="1" thickBot="1" x14ac:dyDescent="0.25">
      <c r="A36" s="291" t="s">
        <v>1420</v>
      </c>
      <c r="B36" s="362" t="s">
        <v>1428</v>
      </c>
      <c r="C36" s="301"/>
      <c r="D36" s="301"/>
      <c r="E36" s="303" t="s">
        <v>1395</v>
      </c>
      <c r="F36" s="301"/>
      <c r="G36" s="304"/>
      <c r="H36" s="299">
        <f t="array" ref="H36">SUM(IF(B36="",0,IF(Budget_Headings_Column=B36,Amount_Column,0)))</f>
        <v>0</v>
      </c>
      <c r="I36" s="357" t="e">
        <f t="shared" si="3"/>
        <v>#DIV/0!</v>
      </c>
      <c r="J36" s="220"/>
      <c r="K36" s="220"/>
      <c r="L36" s="221"/>
      <c r="M36" s="220"/>
      <c r="N36" s="220"/>
      <c r="O36" s="220"/>
      <c r="P36" s="220"/>
    </row>
    <row r="37" spans="1:16" s="290" customFormat="1" ht="28.5" customHeight="1" thickBot="1" x14ac:dyDescent="0.25">
      <c r="A37" s="291" t="s">
        <v>1421</v>
      </c>
      <c r="B37" s="362" t="s">
        <v>1429</v>
      </c>
      <c r="C37" s="301"/>
      <c r="D37" s="301"/>
      <c r="E37" s="303" t="s">
        <v>1396</v>
      </c>
      <c r="F37" s="301"/>
      <c r="G37" s="304"/>
      <c r="H37" s="299">
        <f t="array" ref="H37">SUM(IF(B37="",0,IF(Budget_Headings_Column=B37,Amount_Column,0)))</f>
        <v>0</v>
      </c>
      <c r="I37" s="357" t="e">
        <f t="shared" si="3"/>
        <v>#DIV/0!</v>
      </c>
      <c r="J37" s="220"/>
      <c r="K37" s="220"/>
      <c r="L37" s="221"/>
      <c r="M37" s="220"/>
      <c r="N37" s="220"/>
      <c r="O37" s="220"/>
      <c r="P37" s="220"/>
    </row>
    <row r="38" spans="1:16" s="290" customFormat="1" ht="28.5" customHeight="1" thickBot="1" x14ac:dyDescent="0.25">
      <c r="A38" s="291" t="s">
        <v>1422</v>
      </c>
      <c r="B38" s="362" t="s">
        <v>1430</v>
      </c>
      <c r="C38" s="301"/>
      <c r="D38" s="301"/>
      <c r="E38" s="303" t="s">
        <v>1397</v>
      </c>
      <c r="F38" s="301"/>
      <c r="G38" s="304"/>
      <c r="H38" s="299">
        <f t="array" ref="H38">SUM(IF(B38="",0,IF(Budget_Headings_Column=B38,Amount_Column,0)))</f>
        <v>0</v>
      </c>
      <c r="I38" s="357" t="e">
        <f t="shared" si="3"/>
        <v>#DIV/0!</v>
      </c>
      <c r="J38" s="220"/>
      <c r="K38" s="220"/>
      <c r="L38" s="221"/>
      <c r="M38" s="220"/>
      <c r="N38" s="220"/>
      <c r="O38" s="220"/>
      <c r="P38" s="220"/>
    </row>
    <row r="39" spans="1:16" s="290" customFormat="1" ht="28.5" customHeight="1" thickBot="1" x14ac:dyDescent="0.25">
      <c r="A39" s="291" t="s">
        <v>1423</v>
      </c>
      <c r="B39" s="362" t="s">
        <v>1431</v>
      </c>
      <c r="C39" s="301"/>
      <c r="D39" s="301"/>
      <c r="E39" s="303" t="s">
        <v>1398</v>
      </c>
      <c r="F39" s="301"/>
      <c r="G39" s="304"/>
      <c r="H39" s="299">
        <f t="array" ref="H39">SUM(IF(B39="",0,IF(Budget_Headings_Column=B39,Amount_Column,0)))</f>
        <v>0</v>
      </c>
      <c r="I39" s="357" t="e">
        <f t="shared" si="3"/>
        <v>#DIV/0!</v>
      </c>
      <c r="J39" s="220"/>
      <c r="K39" s="220"/>
      <c r="L39" s="221"/>
      <c r="M39" s="220"/>
      <c r="N39" s="220"/>
      <c r="O39" s="220"/>
      <c r="P39" s="220"/>
    </row>
    <row r="40" spans="1:16" s="290" customFormat="1" ht="28.5" customHeight="1" thickBot="1" x14ac:dyDescent="0.25">
      <c r="A40" s="291" t="s">
        <v>1424</v>
      </c>
      <c r="B40" s="362" t="s">
        <v>691</v>
      </c>
      <c r="C40" s="301"/>
      <c r="D40" s="301"/>
      <c r="E40" s="303" t="s">
        <v>553</v>
      </c>
      <c r="F40" s="301"/>
      <c r="G40" s="304"/>
      <c r="H40" s="299">
        <f t="array" ref="H40">SUM(IF(B40="",0,IF(Budget_Headings_Column=B40,Amount_Column,0)))</f>
        <v>0</v>
      </c>
      <c r="I40" s="357" t="e">
        <f t="shared" si="3"/>
        <v>#DIV/0!</v>
      </c>
      <c r="J40" s="220"/>
      <c r="K40" s="220"/>
      <c r="L40" s="221"/>
      <c r="M40" s="220"/>
      <c r="N40" s="220"/>
      <c r="O40" s="220"/>
      <c r="P40" s="220"/>
    </row>
    <row r="41" spans="1:16" s="290" customFormat="1" ht="28.5" customHeight="1" thickBot="1" x14ac:dyDescent="0.25">
      <c r="A41" s="293"/>
      <c r="B41" s="294"/>
      <c r="C41" s="295"/>
      <c r="D41" s="295"/>
      <c r="E41" s="295"/>
      <c r="F41" s="295"/>
      <c r="G41" s="296" t="s">
        <v>1365</v>
      </c>
      <c r="H41" s="297">
        <f>SUM(H29:H40)</f>
        <v>0</v>
      </c>
      <c r="I41" s="220"/>
      <c r="J41" s="220"/>
      <c r="K41" s="220"/>
      <c r="L41" s="221"/>
      <c r="M41" s="220"/>
      <c r="N41" s="220"/>
      <c r="O41" s="220"/>
      <c r="P41" s="220"/>
    </row>
    <row r="42" spans="1:16" s="290" customFormat="1" ht="28.5" customHeight="1" thickBot="1" x14ac:dyDescent="0.25">
      <c r="A42" s="293"/>
      <c r="B42" s="294"/>
      <c r="C42" s="295"/>
      <c r="D42" s="295"/>
      <c r="E42" s="295"/>
      <c r="F42" s="295"/>
      <c r="G42" s="296" t="s">
        <v>1366</v>
      </c>
      <c r="H42" s="297">
        <f>amount_indirect_costs</f>
        <v>0</v>
      </c>
      <c r="I42" s="220"/>
      <c r="J42" s="220"/>
      <c r="K42" s="220"/>
      <c r="L42" s="221"/>
      <c r="M42" s="220"/>
      <c r="N42" s="220"/>
      <c r="O42" s="220"/>
      <c r="P42" s="220"/>
    </row>
    <row r="43" spans="1:16" s="290" customFormat="1" ht="28.5" customHeight="1" thickBot="1" x14ac:dyDescent="0.25">
      <c r="A43" s="293"/>
      <c r="B43" s="294"/>
      <c r="C43" s="295"/>
      <c r="D43" s="295"/>
      <c r="E43" s="295"/>
      <c r="F43" s="295"/>
      <c r="G43" s="296" t="s">
        <v>1367</v>
      </c>
      <c r="H43" s="297">
        <f>reserve_total</f>
        <v>0</v>
      </c>
      <c r="I43" s="220"/>
      <c r="J43" s="220"/>
      <c r="K43" s="220"/>
      <c r="L43" s="221"/>
      <c r="M43" s="220"/>
      <c r="N43" s="220"/>
      <c r="O43" s="220"/>
      <c r="P43" s="220"/>
    </row>
    <row r="44" spans="1:16" s="290" customFormat="1" ht="28.5" customHeight="1" thickBot="1" x14ac:dyDescent="0.25">
      <c r="A44" s="293"/>
      <c r="B44" s="294"/>
      <c r="C44" s="295"/>
      <c r="D44" s="295"/>
      <c r="E44" s="295"/>
      <c r="F44" s="295"/>
      <c r="G44" s="296" t="s">
        <v>1368</v>
      </c>
      <c r="H44" s="297">
        <f>in_kind_total</f>
        <v>0</v>
      </c>
      <c r="I44" s="220"/>
      <c r="J44" s="220"/>
      <c r="K44" s="220"/>
      <c r="L44" s="221"/>
      <c r="M44" s="220"/>
      <c r="N44" s="220"/>
      <c r="O44" s="220"/>
      <c r="P44" s="220"/>
    </row>
    <row r="45" spans="1:16" s="290" customFormat="1" ht="28.5" customHeight="1" thickBot="1" x14ac:dyDescent="0.25">
      <c r="A45" s="293"/>
      <c r="B45" s="288"/>
      <c r="C45" s="288"/>
      <c r="D45" s="288"/>
      <c r="E45" s="288"/>
      <c r="F45" s="288"/>
      <c r="G45" s="296" t="s">
        <v>1369</v>
      </c>
      <c r="H45" s="297">
        <f>SUM(H41:H44)</f>
        <v>0</v>
      </c>
      <c r="I45" s="222" t="s">
        <v>332</v>
      </c>
      <c r="J45" s="220"/>
      <c r="K45" s="220"/>
      <c r="L45" s="221"/>
      <c r="M45" s="220"/>
      <c r="N45" s="220"/>
      <c r="O45" s="220"/>
      <c r="P45" s="220"/>
    </row>
    <row r="46" spans="1:16" ht="28.5" customHeight="1" x14ac:dyDescent="0.2"/>
    <row r="47" spans="1:16" s="290" customFormat="1" ht="28.5" customHeight="1" thickBot="1" x14ac:dyDescent="0.25">
      <c r="A47" s="305" t="s">
        <v>1436</v>
      </c>
      <c r="D47" s="221"/>
      <c r="E47" s="221"/>
      <c r="F47" s="221"/>
      <c r="G47" s="221"/>
      <c r="H47" s="221"/>
      <c r="I47" s="221"/>
      <c r="J47" s="221"/>
      <c r="K47" s="221"/>
      <c r="L47" s="221"/>
      <c r="M47" s="220"/>
      <c r="N47" s="220"/>
      <c r="O47" s="220"/>
      <c r="P47" s="220"/>
    </row>
    <row r="48" spans="1:16" s="290" customFormat="1" ht="30.75" customHeight="1" thickBot="1" x14ac:dyDescent="0.25">
      <c r="A48" s="695" t="s">
        <v>1399</v>
      </c>
      <c r="B48" s="696"/>
      <c r="C48" s="306" t="s">
        <v>692</v>
      </c>
      <c r="D48" s="306" t="s">
        <v>32</v>
      </c>
      <c r="E48" s="306" t="s">
        <v>33</v>
      </c>
      <c r="F48" s="306" t="s">
        <v>34</v>
      </c>
      <c r="G48" s="306" t="s">
        <v>35</v>
      </c>
      <c r="H48" s="360" t="s">
        <v>1302</v>
      </c>
      <c r="I48" s="360" t="s">
        <v>1400</v>
      </c>
      <c r="J48" s="220"/>
      <c r="K48" s="220"/>
      <c r="L48" s="221"/>
      <c r="M48" s="220"/>
      <c r="N48" s="220"/>
      <c r="O48" s="220"/>
      <c r="P48" s="220"/>
    </row>
    <row r="49" spans="1:16" s="290" customFormat="1" ht="28.5" customHeight="1" thickBot="1" x14ac:dyDescent="0.25">
      <c r="A49" s="687" t="s">
        <v>1356</v>
      </c>
      <c r="B49" s="688"/>
      <c r="C49" s="306" t="str">
        <f>IF(applicant_name="","",applicant_name)</f>
        <v/>
      </c>
      <c r="D49" s="306" t="str">
        <f>IF(partner1_name="","",partner1_name)</f>
        <v/>
      </c>
      <c r="E49" s="306" t="str">
        <f>IF(partner2_name="","",partner2_name)</f>
        <v/>
      </c>
      <c r="F49" s="306" t="str">
        <f>IF(partner3_name="","",partner3_name)</f>
        <v/>
      </c>
      <c r="G49" s="306" t="str">
        <f>IF(partner4_name="","",partner4_name)</f>
        <v/>
      </c>
      <c r="H49" s="361"/>
      <c r="I49" s="361"/>
      <c r="J49" s="220"/>
      <c r="K49" s="220"/>
      <c r="L49" s="221"/>
      <c r="M49" s="220"/>
      <c r="N49" s="220"/>
      <c r="O49" s="220"/>
      <c r="P49" s="220"/>
    </row>
    <row r="50" spans="1:16" s="290" customFormat="1" ht="28.5" customHeight="1" thickBot="1" x14ac:dyDescent="0.25">
      <c r="A50" s="307" t="s">
        <v>1359</v>
      </c>
      <c r="B50" s="308" t="s">
        <v>1359</v>
      </c>
      <c r="C50" s="309">
        <f t="array" ref="C50">IF($A50="",0,SUM(IF(Implemented_By_Column=C$48,IF(Activities_Column=$B50,Amount_Column,0))))</f>
        <v>0</v>
      </c>
      <c r="D50" s="309">
        <f t="array" ref="D50">IF($A50="",0,SUM(IF(Implemented_By_Column=D$48,IF(Activities_Column=$B50,Amount_Column,0))))</f>
        <v>0</v>
      </c>
      <c r="E50" s="309">
        <f t="array" ref="E50">IF($A50="",0,SUM(IF(Implemented_By_Column=E$48,IF(Activities_Column=$B50,Amount_Column,0))))</f>
        <v>0</v>
      </c>
      <c r="F50" s="309">
        <f t="array" ref="F50">IF($A50="",0,SUM(IF(Implemented_By_Column=F$48,IF(Activities_Column=$B50,Amount_Column,0))))</f>
        <v>0</v>
      </c>
      <c r="G50" s="309">
        <f t="array" ref="G50">IF($A50="",0,SUM(IF(Implemented_By_Column=G$48,IF(Activities_Column=$B50,Amount_Column,0))))</f>
        <v>0</v>
      </c>
      <c r="H50" s="299">
        <f>SUM(C50:G50)</f>
        <v>0</v>
      </c>
      <c r="I50" s="325" t="e">
        <f>H50/H$59</f>
        <v>#DIV/0!</v>
      </c>
      <c r="J50" s="220"/>
      <c r="K50" s="220"/>
      <c r="L50" s="221"/>
      <c r="M50" s="220"/>
      <c r="N50" s="220"/>
      <c r="O50" s="220"/>
      <c r="P50" s="220"/>
    </row>
    <row r="51" spans="1:16" s="290" customFormat="1" ht="28.5" customHeight="1" thickBot="1" x14ac:dyDescent="0.25">
      <c r="A51" s="310" t="str">
        <f>IF(Activity1_Name="","",Activity1_Name)</f>
        <v/>
      </c>
      <c r="B51" s="311" t="s">
        <v>1373</v>
      </c>
      <c r="C51" s="309">
        <f t="array" ref="C51">IF($A51="",0,SUM(IF(Implemented_By_Column=C$48,IF(Activities_Column=$B51,Amount_Column,0))))</f>
        <v>0</v>
      </c>
      <c r="D51" s="309">
        <f t="array" ref="D51">IF($A51="",0,SUM(IF(Implemented_By_Column=D$48,IF(Activities_Column=$B51,Amount_Column,0))))</f>
        <v>0</v>
      </c>
      <c r="E51" s="309">
        <f t="array" ref="E51">IF($A51="",0,SUM(IF(Implemented_By_Column=E$48,IF(Activities_Column=$B51,Amount_Column,0))))</f>
        <v>0</v>
      </c>
      <c r="F51" s="309">
        <f t="array" ref="F51">IF($A51="",0,SUM(IF(Implemented_By_Column=F$48,IF(Activities_Column=$B51,Amount_Column,0))))</f>
        <v>0</v>
      </c>
      <c r="G51" s="309">
        <f t="array" ref="G51">IF($A51="",0,SUM(IF(Implemented_By_Column=G$48,IF(Activities_Column=$B51,Amount_Column,0))))</f>
        <v>0</v>
      </c>
      <c r="H51" s="299">
        <f t="shared" ref="H51:H58" si="4">SUM(C51:G51)</f>
        <v>0</v>
      </c>
      <c r="I51" s="325" t="e">
        <f t="shared" ref="I51:I57" si="5">H51/H$59</f>
        <v>#DIV/0!</v>
      </c>
      <c r="J51" s="220"/>
      <c r="K51" s="220"/>
      <c r="L51" s="221"/>
      <c r="M51" s="220"/>
      <c r="N51" s="220"/>
      <c r="O51" s="220"/>
      <c r="P51" s="220"/>
    </row>
    <row r="52" spans="1:16" s="290" customFormat="1" ht="28.5" customHeight="1" thickBot="1" x14ac:dyDescent="0.25">
      <c r="A52" s="310" t="str">
        <f>IF(Activity2_Name="","",Activity2_Name)</f>
        <v/>
      </c>
      <c r="B52" s="311" t="s">
        <v>1374</v>
      </c>
      <c r="C52" s="309">
        <f t="array" ref="C52">IF($A52="",0,SUM(IF(Implemented_By_Column=C$48,IF(Activities_Column=$B52,Amount_Column,0))))</f>
        <v>0</v>
      </c>
      <c r="D52" s="309">
        <f t="array" ref="D52">IF($A52="",0,SUM(IF(Implemented_By_Column=D$48,IF(Activities_Column=$B52,Amount_Column,0))))</f>
        <v>0</v>
      </c>
      <c r="E52" s="309">
        <f t="array" ref="E52">IF($A52="",0,SUM(IF(Implemented_By_Column=E$48,IF(Activities_Column=$B52,Amount_Column,0))))</f>
        <v>0</v>
      </c>
      <c r="F52" s="309">
        <f t="array" ref="F52">IF($A52="",0,SUM(IF(Implemented_By_Column=F$48,IF(Activities_Column=$B52,Amount_Column,0))))</f>
        <v>0</v>
      </c>
      <c r="G52" s="309">
        <f t="array" ref="G52">IF($A52="",0,SUM(IF(Implemented_By_Column=G$48,IF(Activities_Column=$B52,Amount_Column,0))))</f>
        <v>0</v>
      </c>
      <c r="H52" s="299">
        <f t="shared" si="4"/>
        <v>0</v>
      </c>
      <c r="I52" s="325" t="e">
        <f t="shared" si="5"/>
        <v>#DIV/0!</v>
      </c>
      <c r="J52" s="220"/>
      <c r="K52" s="220"/>
      <c r="L52" s="221"/>
      <c r="M52" s="220"/>
      <c r="N52" s="220"/>
      <c r="O52" s="220"/>
      <c r="P52" s="220"/>
    </row>
    <row r="53" spans="1:16" s="290" customFormat="1" ht="28.5" customHeight="1" thickBot="1" x14ac:dyDescent="0.25">
      <c r="A53" s="310" t="str">
        <f>IF(Activity3_Name="","",Activity3_Name)</f>
        <v/>
      </c>
      <c r="B53" s="311" t="s">
        <v>1375</v>
      </c>
      <c r="C53" s="309">
        <f t="array" ref="C53">IF($A53="",0,SUM(IF(Implemented_By_Column=C$48,IF(Activities_Column=$B53,Amount_Column,0))))</f>
        <v>0</v>
      </c>
      <c r="D53" s="309">
        <f t="array" ref="D53">IF($A53="",0,SUM(IF(Implemented_By_Column=D$48,IF(Activities_Column=$B53,Amount_Column,0))))</f>
        <v>0</v>
      </c>
      <c r="E53" s="309">
        <f t="array" ref="E53">IF($A53="",0,SUM(IF(Implemented_By_Column=E$48,IF(Activities_Column=$B53,Amount_Column,0))))</f>
        <v>0</v>
      </c>
      <c r="F53" s="309">
        <f t="array" ref="F53">IF($A53="",0,SUM(IF(Implemented_By_Column=F$48,IF(Activities_Column=$B53,Amount_Column,0))))</f>
        <v>0</v>
      </c>
      <c r="G53" s="309">
        <f t="array" ref="G53">IF($A53="",0,SUM(IF(Implemented_By_Column=G$48,IF(Activities_Column=$B53,Amount_Column,0))))</f>
        <v>0</v>
      </c>
      <c r="H53" s="299">
        <f t="shared" si="4"/>
        <v>0</v>
      </c>
      <c r="I53" s="325" t="e">
        <f t="shared" si="5"/>
        <v>#DIV/0!</v>
      </c>
      <c r="J53" s="220"/>
      <c r="K53" s="220"/>
      <c r="L53" s="221"/>
      <c r="M53" s="220"/>
      <c r="N53" s="220"/>
      <c r="O53" s="220"/>
      <c r="P53" s="220"/>
    </row>
    <row r="54" spans="1:16" s="290" customFormat="1" ht="28.5" customHeight="1" thickBot="1" x14ac:dyDescent="0.25">
      <c r="A54" s="310" t="str">
        <f>IF(Activity4_Name="","",Activity4_Name)</f>
        <v/>
      </c>
      <c r="B54" s="311" t="s">
        <v>1376</v>
      </c>
      <c r="C54" s="309">
        <f t="array" ref="C54">IF($A54="",0,SUM(IF(Implemented_By_Column=C$48,IF(Activities_Column=$B54,Amount_Column,0))))</f>
        <v>0</v>
      </c>
      <c r="D54" s="309">
        <f t="array" ref="D54">IF($A54="",0,SUM(IF(Implemented_By_Column=D$48,IF(Activities_Column=$B54,Amount_Column,0))))</f>
        <v>0</v>
      </c>
      <c r="E54" s="309">
        <f t="array" ref="E54">IF($A54="",0,SUM(IF(Implemented_By_Column=E$48,IF(Activities_Column=$B54,Amount_Column,0))))</f>
        <v>0</v>
      </c>
      <c r="F54" s="309">
        <f t="array" ref="F54">IF($A54="",0,SUM(IF(Implemented_By_Column=F$48,IF(Activities_Column=$B54,Amount_Column,0))))</f>
        <v>0</v>
      </c>
      <c r="G54" s="309">
        <f t="array" ref="G54">IF($A54="",0,SUM(IF(Implemented_By_Column=G$48,IF(Activities_Column=$B54,Amount_Column,0))))</f>
        <v>0</v>
      </c>
      <c r="H54" s="299">
        <f t="shared" si="4"/>
        <v>0</v>
      </c>
      <c r="I54" s="325" t="e">
        <f t="shared" si="5"/>
        <v>#DIV/0!</v>
      </c>
      <c r="J54" s="220"/>
      <c r="K54" s="220"/>
      <c r="L54" s="221"/>
      <c r="M54" s="220"/>
      <c r="N54" s="220"/>
      <c r="O54" s="220"/>
      <c r="P54" s="220"/>
    </row>
    <row r="55" spans="1:16" s="290" customFormat="1" ht="28.5" customHeight="1" thickBot="1" x14ac:dyDescent="0.25">
      <c r="A55" s="310" t="str">
        <f>IF(Activity5_Name="","",Activity5_Name)</f>
        <v/>
      </c>
      <c r="B55" s="311" t="s">
        <v>1377</v>
      </c>
      <c r="C55" s="309">
        <f t="array" ref="C55">IF($A55="",0,SUM(IF(Implemented_By_Column=C$48,IF(Activities_Column=$B55,Amount_Column,0))))</f>
        <v>0</v>
      </c>
      <c r="D55" s="309">
        <f t="array" ref="D55">IF($A55="",0,SUM(IF(Implemented_By_Column=D$48,IF(Activities_Column=$B55,Amount_Column,0))))</f>
        <v>0</v>
      </c>
      <c r="E55" s="309">
        <f t="array" ref="E55">IF($A55="",0,SUM(IF(Implemented_By_Column=E$48,IF(Activities_Column=$B55,Amount_Column,0))))</f>
        <v>0</v>
      </c>
      <c r="F55" s="309">
        <f t="array" ref="F55">IF($A55="",0,SUM(IF(Implemented_By_Column=F$48,IF(Activities_Column=$B55,Amount_Column,0))))</f>
        <v>0</v>
      </c>
      <c r="G55" s="309">
        <f t="array" ref="G55">IF($A55="",0,SUM(IF(Implemented_By_Column=G$48,IF(Activities_Column=$B55,Amount_Column,0))))</f>
        <v>0</v>
      </c>
      <c r="H55" s="299">
        <f t="shared" si="4"/>
        <v>0</v>
      </c>
      <c r="I55" s="325" t="e">
        <f t="shared" si="5"/>
        <v>#DIV/0!</v>
      </c>
      <c r="J55" s="220"/>
      <c r="K55" s="220"/>
      <c r="L55" s="221"/>
      <c r="M55" s="220"/>
      <c r="N55" s="220"/>
      <c r="O55" s="220"/>
      <c r="P55" s="220"/>
    </row>
    <row r="56" spans="1:16" s="290" customFormat="1" ht="28.5" customHeight="1" thickBot="1" x14ac:dyDescent="0.25">
      <c r="A56" s="310" t="str">
        <f>IF(Activity6_Name="","",Activity6_Name)</f>
        <v/>
      </c>
      <c r="B56" s="311" t="s">
        <v>1378</v>
      </c>
      <c r="C56" s="309">
        <f t="array" ref="C56">IF($A56="",0,SUM(IF(Implemented_By_Column=C$48,IF(Activities_Column=$B56,Amount_Column,0))))</f>
        <v>0</v>
      </c>
      <c r="D56" s="309">
        <f t="array" ref="D56">IF($A56="",0,SUM(IF(Implemented_By_Column=D$48,IF(Activities_Column=$B56,Amount_Column,0))))</f>
        <v>0</v>
      </c>
      <c r="E56" s="309">
        <f t="array" ref="E56">IF($A56="",0,SUM(IF(Implemented_By_Column=E$48,IF(Activities_Column=$B56,Amount_Column,0))))</f>
        <v>0</v>
      </c>
      <c r="F56" s="309">
        <f t="array" ref="F56">IF($A56="",0,SUM(IF(Implemented_By_Column=F$48,IF(Activities_Column=$B56,Amount_Column,0))))</f>
        <v>0</v>
      </c>
      <c r="G56" s="309">
        <f t="array" ref="G56">IF($A56="",0,SUM(IF(Implemented_By_Column=G$48,IF(Activities_Column=$B56,Amount_Column,0))))</f>
        <v>0</v>
      </c>
      <c r="H56" s="299">
        <f t="shared" si="4"/>
        <v>0</v>
      </c>
      <c r="I56" s="325" t="e">
        <f t="shared" si="5"/>
        <v>#DIV/0!</v>
      </c>
      <c r="J56" s="220"/>
      <c r="K56" s="220"/>
      <c r="L56" s="221"/>
      <c r="M56" s="220"/>
      <c r="N56" s="220"/>
      <c r="O56" s="220"/>
      <c r="P56" s="220"/>
    </row>
    <row r="57" spans="1:16" s="290" customFormat="1" ht="28.5" customHeight="1" thickBot="1" x14ac:dyDescent="0.25">
      <c r="A57" s="310" t="str">
        <f>IF(Activity7_Name="","",Activity7_Name)</f>
        <v/>
      </c>
      <c r="B57" s="311" t="s">
        <v>1379</v>
      </c>
      <c r="C57" s="309">
        <f t="array" ref="C57">IF($A57="",0,SUM(IF(Implemented_By_Column=C$48,IF(Activities_Column=$B57,Amount_Column,0))))</f>
        <v>0</v>
      </c>
      <c r="D57" s="309">
        <f t="array" ref="D57">IF($A57="",0,SUM(IF(Implemented_By_Column=D$48,IF(Activities_Column=$B57,Amount_Column,0))))</f>
        <v>0</v>
      </c>
      <c r="E57" s="309">
        <f t="array" ref="E57">IF($A57="",0,SUM(IF(Implemented_By_Column=E$48,IF(Activities_Column=$B57,Amount_Column,0))))</f>
        <v>0</v>
      </c>
      <c r="F57" s="309">
        <f t="array" ref="F57">IF($A57="",0,SUM(IF(Implemented_By_Column=F$48,IF(Activities_Column=$B57,Amount_Column,0))))</f>
        <v>0</v>
      </c>
      <c r="G57" s="309">
        <f t="array" ref="G57">IF($A57="",0,SUM(IF(Implemented_By_Column=G$48,IF(Activities_Column=$B57,Amount_Column,0))))</f>
        <v>0</v>
      </c>
      <c r="H57" s="299">
        <f t="shared" si="4"/>
        <v>0</v>
      </c>
      <c r="I57" s="325" t="e">
        <f t="shared" si="5"/>
        <v>#DIV/0!</v>
      </c>
      <c r="J57" s="220"/>
      <c r="K57" s="220"/>
      <c r="L57" s="221"/>
      <c r="M57" s="220"/>
      <c r="N57" s="220"/>
      <c r="O57" s="220"/>
      <c r="P57" s="220"/>
    </row>
    <row r="58" spans="1:16" s="290" customFormat="1" ht="28.5" customHeight="1" thickBot="1" x14ac:dyDescent="0.25">
      <c r="A58" s="310" t="str">
        <f>IF(Activity8_Name="","",Activity8_Name)</f>
        <v/>
      </c>
      <c r="B58" s="311" t="s">
        <v>1380</v>
      </c>
      <c r="C58" s="309">
        <f t="array" ref="C58">IF($A58="",0,SUM(IF(Implemented_By_Column=C$48,IF(Activities_Column=$B58,Amount_Column,0))))</f>
        <v>0</v>
      </c>
      <c r="D58" s="309">
        <f t="array" ref="D58">IF($A58="",0,SUM(IF(Implemented_By_Column=D$48,IF(Activities_Column=$B58,Amount_Column,0))))</f>
        <v>0</v>
      </c>
      <c r="E58" s="309">
        <f t="array" ref="E58">IF($A58="",0,SUM(IF(Implemented_By_Column=E$48,IF(Activities_Column=$B58,Amount_Column,0))))</f>
        <v>0</v>
      </c>
      <c r="F58" s="309">
        <f t="array" ref="F58">IF($A58="",0,SUM(IF(Implemented_By_Column=F$48,IF(Activities_Column=$B58,Amount_Column,0))))</f>
        <v>0</v>
      </c>
      <c r="G58" s="309">
        <f t="array" ref="G58">IF($A58="",0,SUM(IF(Implemented_By_Column=G$48,IF(Activities_Column=$B58,Amount_Column,0))))</f>
        <v>0</v>
      </c>
      <c r="H58" s="299">
        <f t="shared" si="4"/>
        <v>0</v>
      </c>
      <c r="I58" s="325" t="e">
        <f>H58/H$59</f>
        <v>#DIV/0!</v>
      </c>
      <c r="J58" s="220"/>
      <c r="K58" s="220"/>
      <c r="L58" s="221"/>
      <c r="M58" s="220"/>
      <c r="N58" s="220"/>
      <c r="O58" s="220"/>
      <c r="P58" s="220"/>
    </row>
    <row r="59" spans="1:16" s="290" customFormat="1" ht="28.5" customHeight="1" thickBot="1" x14ac:dyDescent="0.25">
      <c r="A59" s="312"/>
      <c r="B59" s="313" t="s">
        <v>1302</v>
      </c>
      <c r="C59" s="309">
        <f t="shared" ref="C59:H59" si="6">SUM(C50:C58)</f>
        <v>0</v>
      </c>
      <c r="D59" s="309">
        <f t="shared" si="6"/>
        <v>0</v>
      </c>
      <c r="E59" s="309">
        <f t="shared" si="6"/>
        <v>0</v>
      </c>
      <c r="F59" s="309">
        <f t="shared" si="6"/>
        <v>0</v>
      </c>
      <c r="G59" s="309">
        <f t="shared" si="6"/>
        <v>0</v>
      </c>
      <c r="H59" s="297">
        <f t="shared" si="6"/>
        <v>0</v>
      </c>
      <c r="I59" s="220"/>
      <c r="J59" s="220"/>
      <c r="K59" s="220"/>
      <c r="L59" s="221"/>
      <c r="M59" s="220"/>
      <c r="N59" s="220"/>
      <c r="O59" s="220"/>
      <c r="P59" s="220"/>
    </row>
    <row r="60" spans="1:16" s="290" customFormat="1" ht="28.5" customHeight="1" thickBot="1" x14ac:dyDescent="0.25">
      <c r="D60" s="221"/>
      <c r="E60" s="221"/>
      <c r="F60" s="221"/>
      <c r="G60" s="221"/>
      <c r="H60" s="221"/>
      <c r="I60" s="221"/>
      <c r="J60" s="221"/>
      <c r="K60" s="221"/>
      <c r="L60" s="221"/>
      <c r="M60" s="220"/>
      <c r="N60" s="220"/>
      <c r="O60" s="220"/>
      <c r="P60" s="220"/>
    </row>
    <row r="61" spans="1:16" s="290" customFormat="1" ht="45.75" customHeight="1" thickBot="1" x14ac:dyDescent="0.25">
      <c r="A61" s="314" t="s">
        <v>1401</v>
      </c>
      <c r="B61" s="315" t="s">
        <v>1359</v>
      </c>
      <c r="C61" s="306" t="s">
        <v>1373</v>
      </c>
      <c r="D61" s="306" t="s">
        <v>1374</v>
      </c>
      <c r="E61" s="306" t="s">
        <v>1375</v>
      </c>
      <c r="F61" s="306" t="s">
        <v>1376</v>
      </c>
      <c r="G61" s="306" t="s">
        <v>1377</v>
      </c>
      <c r="H61" s="306" t="s">
        <v>1378</v>
      </c>
      <c r="I61" s="306" t="s">
        <v>1379</v>
      </c>
      <c r="J61" s="306" t="s">
        <v>1380</v>
      </c>
      <c r="K61" s="316" t="s">
        <v>1403</v>
      </c>
      <c r="L61" s="317" t="s">
        <v>1404</v>
      </c>
      <c r="M61" s="220"/>
      <c r="N61" s="220"/>
      <c r="O61" s="220"/>
      <c r="P61" s="220"/>
    </row>
    <row r="62" spans="1:16" s="290" customFormat="1" ht="34.5" customHeight="1" thickBot="1" x14ac:dyDescent="0.25">
      <c r="A62" s="318" t="s">
        <v>1402</v>
      </c>
      <c r="B62" s="319" t="str">
        <f>B61</f>
        <v>Riadenie projektu</v>
      </c>
      <c r="C62" s="319" t="str">
        <f>IF(Activity1_Name="","",Activity1_Name)</f>
        <v/>
      </c>
      <c r="D62" s="319" t="str">
        <f>IF(Activity2_Name="","",Activity2_Name)</f>
        <v/>
      </c>
      <c r="E62" s="319" t="str">
        <f>IF(Activity3_Name="","",Activity3_Name)</f>
        <v/>
      </c>
      <c r="F62" s="319" t="str">
        <f>IF(Activity4_Name="","",Activity4_Name)</f>
        <v/>
      </c>
      <c r="G62" s="319" t="str">
        <f>IF(Activity5_Name="","",Activity5_Name)</f>
        <v/>
      </c>
      <c r="H62" s="319" t="str">
        <f>IF(Activity6_Name="","",Activity6_Name)</f>
        <v/>
      </c>
      <c r="I62" s="319" t="str">
        <f>IF(Activity7_Name="","",Activity7_Name)</f>
        <v/>
      </c>
      <c r="J62" s="319" t="str">
        <f>IF(Activity8_Name="","",Activity8_Name)</f>
        <v/>
      </c>
      <c r="K62" s="320"/>
      <c r="L62" s="321"/>
      <c r="M62" s="220"/>
      <c r="N62" s="220"/>
      <c r="O62" s="220"/>
      <c r="P62" s="220"/>
    </row>
    <row r="63" spans="1:16" s="290" customFormat="1" ht="34.5" customHeight="1" thickBot="1" x14ac:dyDescent="0.25">
      <c r="A63" s="322" t="s">
        <v>684</v>
      </c>
      <c r="B63" s="323">
        <f t="array" ref="B63">SUM(IF(Type_Of_Expenditures_Column=$A63,IF(Activities_Column=B$61,Amount_Column),0))</f>
        <v>0</v>
      </c>
      <c r="C63" s="323">
        <f t="array" ref="C63">SUM(IF(Type_Of_Expenditures_Column=$A63,IF(Activities_Column=C$61,Amount_Column),0))</f>
        <v>0</v>
      </c>
      <c r="D63" s="323">
        <f t="array" ref="D63">SUM(IF(Type_Of_Expenditures_Column=$A63,IF(Activities_Column=D$61,Amount_Column),0))</f>
        <v>0</v>
      </c>
      <c r="E63" s="323">
        <f t="array" ref="E63">SUM(IF(Type_Of_Expenditures_Column=$A63,IF(Activities_Column=E$61,Amount_Column),0))</f>
        <v>0</v>
      </c>
      <c r="F63" s="323">
        <f t="array" ref="F63">SUM(IF(Type_Of_Expenditures_Column=$A63,IF(Activities_Column=F$61,Amount_Column),0))</f>
        <v>0</v>
      </c>
      <c r="G63" s="323">
        <f t="array" ref="G63">SUM(IF(Type_Of_Expenditures_Column=$A63,IF(Activities_Column=G$61,Amount_Column),0))</f>
        <v>0</v>
      </c>
      <c r="H63" s="323">
        <f t="array" ref="H63">SUM(IF(Type_Of_Expenditures_Column=$A63,IF(Activities_Column=H$61,Amount_Column),0))</f>
        <v>0</v>
      </c>
      <c r="I63" s="323">
        <f t="array" ref="I63">SUM(IF(Type_Of_Expenditures_Column=$A63,IF(Activities_Column=I$61,Amount_Column),0))</f>
        <v>0</v>
      </c>
      <c r="J63" s="323">
        <f t="array" ref="J63">SUM(IF(Type_Of_Expenditures_Column=$A63,IF(Activities_Column=J$61,Amount_Column),0))</f>
        <v>0</v>
      </c>
      <c r="K63" s="324">
        <f>SUM(B63:J63)</f>
        <v>0</v>
      </c>
      <c r="L63" s="325">
        <f t="shared" ref="L63:L72" si="7">IF($K$63=0,0,K63/$K$73)</f>
        <v>0</v>
      </c>
      <c r="M63" s="220"/>
      <c r="N63" s="220"/>
      <c r="O63" s="220"/>
      <c r="P63" s="220"/>
    </row>
    <row r="64" spans="1:16" ht="34.5" customHeight="1" thickBot="1" x14ac:dyDescent="0.25">
      <c r="A64" s="322" t="s">
        <v>685</v>
      </c>
      <c r="B64" s="323">
        <f t="array" ref="B64">SUM(IF(Type_Of_Expenditures_Column=$A64,IF(Activities_Column=B$61,Amount_Column),0))</f>
        <v>0</v>
      </c>
      <c r="C64" s="323">
        <f t="array" ref="C64">SUM(IF(Type_Of_Expenditures_Column=$A64,IF(Activities_Column=C$61,Amount_Column),0))</f>
        <v>0</v>
      </c>
      <c r="D64" s="323">
        <f t="array" ref="D64">SUM(IF(Type_Of_Expenditures_Column=$A64,IF(Activities_Column=D$61,Amount_Column),0))</f>
        <v>0</v>
      </c>
      <c r="E64" s="323">
        <f t="array" ref="E64">SUM(IF(Type_Of_Expenditures_Column=$A64,IF(Activities_Column=E$61,Amount_Column),0))</f>
        <v>0</v>
      </c>
      <c r="F64" s="323">
        <f t="array" ref="F64">SUM(IF(Type_Of_Expenditures_Column=$A64,IF(Activities_Column=F$61,Amount_Column),0))</f>
        <v>0</v>
      </c>
      <c r="G64" s="323">
        <f t="array" ref="G64">SUM(IF(Type_Of_Expenditures_Column=$A64,IF(Activities_Column=G$61,Amount_Column),0))</f>
        <v>0</v>
      </c>
      <c r="H64" s="323">
        <f t="array" ref="H64">SUM(IF(Type_Of_Expenditures_Column=$A64,IF(Activities_Column=H$61,Amount_Column),0))</f>
        <v>0</v>
      </c>
      <c r="I64" s="323">
        <f t="array" ref="I64">SUM(IF(Type_Of_Expenditures_Column=$A64,IF(Activities_Column=I$61,Amount_Column),0))</f>
        <v>0</v>
      </c>
      <c r="J64" s="323">
        <f t="array" ref="J64">SUM(IF(Type_Of_Expenditures_Column=$A64,IF(Activities_Column=J$61,Amount_Column),0))</f>
        <v>0</v>
      </c>
      <c r="K64" s="324">
        <f t="shared" ref="K64:K69" si="8">SUM(B64:J64)</f>
        <v>0</v>
      </c>
      <c r="L64" s="325">
        <f t="shared" si="7"/>
        <v>0</v>
      </c>
    </row>
    <row r="65" spans="1:12" ht="34.5" customHeight="1" thickBot="1" x14ac:dyDescent="0.25">
      <c r="A65" s="322" t="s">
        <v>686</v>
      </c>
      <c r="B65" s="323">
        <f t="array" ref="B65">SUM(IF(Type_Of_Expenditures_Column=$A65,IF(Activities_Column=B$61,Amount_Column),0))</f>
        <v>0</v>
      </c>
      <c r="C65" s="323">
        <f t="array" ref="C65">SUM(IF(Type_Of_Expenditures_Column=$A65,IF(Activities_Column=C$61,Amount_Column),0))</f>
        <v>0</v>
      </c>
      <c r="D65" s="323">
        <f t="array" ref="D65">SUM(IF(Type_Of_Expenditures_Column=$A65,IF(Activities_Column=D$61,Amount_Column),0))</f>
        <v>0</v>
      </c>
      <c r="E65" s="323">
        <f t="array" ref="E65">SUM(IF(Type_Of_Expenditures_Column=$A65,IF(Activities_Column=E$61,Amount_Column),0))</f>
        <v>0</v>
      </c>
      <c r="F65" s="323">
        <f t="array" ref="F65">SUM(IF(Type_Of_Expenditures_Column=$A65,IF(Activities_Column=F$61,Amount_Column),0))</f>
        <v>0</v>
      </c>
      <c r="G65" s="323">
        <f t="array" ref="G65">SUM(IF(Type_Of_Expenditures_Column=$A65,IF(Activities_Column=G$61,Amount_Column),0))</f>
        <v>0</v>
      </c>
      <c r="H65" s="323">
        <f t="array" ref="H65">SUM(IF(Type_Of_Expenditures_Column=$A65,IF(Activities_Column=H$61,Amount_Column),0))</f>
        <v>0</v>
      </c>
      <c r="I65" s="323">
        <f t="array" ref="I65">SUM(IF(Type_Of_Expenditures_Column=$A65,IF(Activities_Column=I$61,Amount_Column),0))</f>
        <v>0</v>
      </c>
      <c r="J65" s="323">
        <f t="array" ref="J65">SUM(IF(Type_Of_Expenditures_Column=$A65,IF(Activities_Column=J$61,Amount_Column),0))</f>
        <v>0</v>
      </c>
      <c r="K65" s="324">
        <f t="shared" si="8"/>
        <v>0</v>
      </c>
      <c r="L65" s="325">
        <f t="shared" si="7"/>
        <v>0</v>
      </c>
    </row>
    <row r="66" spans="1:12" ht="34.5" customHeight="1" thickBot="1" x14ac:dyDescent="0.25">
      <c r="A66" s="322" t="s">
        <v>687</v>
      </c>
      <c r="B66" s="323">
        <f t="array" ref="B66">SUM(IF(Type_Of_Expenditures_Column=$A66,IF(Activities_Column=B$61,Amount_Column),0))</f>
        <v>0</v>
      </c>
      <c r="C66" s="323">
        <f t="array" ref="C66">SUM(IF(Type_Of_Expenditures_Column=$A66,IF(Activities_Column=C$61,Amount_Column),0))</f>
        <v>0</v>
      </c>
      <c r="D66" s="323">
        <f t="array" ref="D66">SUM(IF(Type_Of_Expenditures_Column=$A66,IF(Activities_Column=D$61,Amount_Column),0))</f>
        <v>0</v>
      </c>
      <c r="E66" s="323">
        <f t="array" ref="E66">SUM(IF(Type_Of_Expenditures_Column=$A66,IF(Activities_Column=E$61,Amount_Column),0))</f>
        <v>0</v>
      </c>
      <c r="F66" s="323">
        <f t="array" ref="F66">SUM(IF(Type_Of_Expenditures_Column=$A66,IF(Activities_Column=F$61,Amount_Column),0))</f>
        <v>0</v>
      </c>
      <c r="G66" s="323">
        <f t="array" ref="G66">SUM(IF(Type_Of_Expenditures_Column=$A66,IF(Activities_Column=G$61,Amount_Column),0))</f>
        <v>0</v>
      </c>
      <c r="H66" s="323">
        <f t="array" ref="H66">SUM(IF(Type_Of_Expenditures_Column=$A66,IF(Activities_Column=H$61,Amount_Column),0))</f>
        <v>0</v>
      </c>
      <c r="I66" s="323">
        <f t="array" ref="I66">SUM(IF(Type_Of_Expenditures_Column=$A66,IF(Activities_Column=I$61,Amount_Column),0))</f>
        <v>0</v>
      </c>
      <c r="J66" s="323">
        <f t="array" ref="J66">SUM(IF(Type_Of_Expenditures_Column=$A66,IF(Activities_Column=J$61,Amount_Column),0))</f>
        <v>0</v>
      </c>
      <c r="K66" s="324">
        <f t="shared" si="8"/>
        <v>0</v>
      </c>
      <c r="L66" s="325">
        <f t="shared" si="7"/>
        <v>0</v>
      </c>
    </row>
    <row r="67" spans="1:12" ht="34.5" customHeight="1" thickBot="1" x14ac:dyDescent="0.25">
      <c r="A67" s="322" t="s">
        <v>688</v>
      </c>
      <c r="B67" s="323">
        <f t="array" ref="B67">SUM(IF(Type_Of_Expenditures_Column=$A67,IF(Activities_Column=B$61,Amount_Column),0))</f>
        <v>0</v>
      </c>
      <c r="C67" s="323">
        <f t="array" ref="C67">SUM(IF(Type_Of_Expenditures_Column=$A67,IF(Activities_Column=C$61,Amount_Column),0))</f>
        <v>0</v>
      </c>
      <c r="D67" s="323">
        <f t="array" ref="D67">SUM(IF(Type_Of_Expenditures_Column=$A67,IF(Activities_Column=D$61,Amount_Column),0))</f>
        <v>0</v>
      </c>
      <c r="E67" s="323">
        <f t="array" ref="E67">SUM(IF(Type_Of_Expenditures_Column=$A67,IF(Activities_Column=E$61,Amount_Column),0))</f>
        <v>0</v>
      </c>
      <c r="F67" s="323">
        <f t="array" ref="F67">SUM(IF(Type_Of_Expenditures_Column=$A67,IF(Activities_Column=F$61,Amount_Column),0))</f>
        <v>0</v>
      </c>
      <c r="G67" s="323">
        <f t="array" ref="G67">SUM(IF(Type_Of_Expenditures_Column=$A67,IF(Activities_Column=G$61,Amount_Column),0))</f>
        <v>0</v>
      </c>
      <c r="H67" s="323">
        <f t="array" ref="H67">SUM(IF(Type_Of_Expenditures_Column=$A67,IF(Activities_Column=H$61,Amount_Column),0))</f>
        <v>0</v>
      </c>
      <c r="I67" s="323">
        <f t="array" ref="I67">SUM(IF(Type_Of_Expenditures_Column=$A67,IF(Activities_Column=I$61,Amount_Column),0))</f>
        <v>0</v>
      </c>
      <c r="J67" s="323">
        <f t="array" ref="J67">SUM(IF(Type_Of_Expenditures_Column=$A67,IF(Activities_Column=J$61,Amount_Column),0))</f>
        <v>0</v>
      </c>
      <c r="K67" s="324">
        <f t="shared" si="8"/>
        <v>0</v>
      </c>
      <c r="L67" s="325">
        <f t="shared" si="7"/>
        <v>0</v>
      </c>
    </row>
    <row r="68" spans="1:12" ht="34.5" customHeight="1" thickBot="1" x14ac:dyDescent="0.25">
      <c r="A68" s="322" t="s">
        <v>689</v>
      </c>
      <c r="B68" s="323">
        <f t="array" ref="B68">SUM(IF(Type_Of_Expenditures_Column=$A68,IF(Activities_Column=B$61,Amount_Column),0))</f>
        <v>0</v>
      </c>
      <c r="C68" s="323">
        <f t="array" ref="C68">SUM(IF(Type_Of_Expenditures_Column=$A68,IF(Activities_Column=C$61,Amount_Column),0))</f>
        <v>0</v>
      </c>
      <c r="D68" s="323">
        <f t="array" ref="D68">SUM(IF(Type_Of_Expenditures_Column=$A68,IF(Activities_Column=D$61,Amount_Column),0))</f>
        <v>0</v>
      </c>
      <c r="E68" s="323">
        <f t="array" ref="E68">SUM(IF(Type_Of_Expenditures_Column=$A68,IF(Activities_Column=E$61,Amount_Column),0))</f>
        <v>0</v>
      </c>
      <c r="F68" s="323">
        <f t="array" ref="F68">SUM(IF(Type_Of_Expenditures_Column=$A68,IF(Activities_Column=F$61,Amount_Column),0))</f>
        <v>0</v>
      </c>
      <c r="G68" s="323">
        <f t="array" ref="G68">SUM(IF(Type_Of_Expenditures_Column=$A68,IF(Activities_Column=G$61,Amount_Column),0))</f>
        <v>0</v>
      </c>
      <c r="H68" s="323">
        <f t="array" ref="H68">SUM(IF(Type_Of_Expenditures_Column=$A68,IF(Activities_Column=H$61,Amount_Column),0))</f>
        <v>0</v>
      </c>
      <c r="I68" s="323">
        <f t="array" ref="I68">SUM(IF(Type_Of_Expenditures_Column=$A68,IF(Activities_Column=I$61,Amount_Column),0))</f>
        <v>0</v>
      </c>
      <c r="J68" s="323">
        <f t="array" ref="J68">SUM(IF(Type_Of_Expenditures_Column=$A68,IF(Activities_Column=J$61,Amount_Column),0))</f>
        <v>0</v>
      </c>
      <c r="K68" s="324">
        <f t="shared" si="8"/>
        <v>0</v>
      </c>
      <c r="L68" s="325">
        <f t="shared" si="7"/>
        <v>0</v>
      </c>
    </row>
    <row r="69" spans="1:12" ht="34.5" customHeight="1" thickBot="1" x14ac:dyDescent="0.25">
      <c r="A69" s="322" t="s">
        <v>690</v>
      </c>
      <c r="B69" s="323">
        <f t="array" ref="B69">SUM(IF(Type_Of_Expenditures_Column=$A69,IF(Activities_Column=B$61,Amount_Column),0))</f>
        <v>0</v>
      </c>
      <c r="C69" s="323">
        <f t="array" ref="C69">SUM(IF(Type_Of_Expenditures_Column=$A69,IF(Activities_Column=C$61,Amount_Column),0))</f>
        <v>0</v>
      </c>
      <c r="D69" s="323">
        <f t="array" ref="D69">SUM(IF(Type_Of_Expenditures_Column=$A69,IF(Activities_Column=D$61,Amount_Column),0))</f>
        <v>0</v>
      </c>
      <c r="E69" s="323">
        <f t="array" ref="E69">SUM(IF(Type_Of_Expenditures_Column=$A69,IF(Activities_Column=E$61,Amount_Column),0))</f>
        <v>0</v>
      </c>
      <c r="F69" s="323">
        <f t="array" ref="F69">SUM(IF(Type_Of_Expenditures_Column=$A69,IF(Activities_Column=F$61,Amount_Column),0))</f>
        <v>0</v>
      </c>
      <c r="G69" s="323">
        <f t="array" ref="G69">SUM(IF(Type_Of_Expenditures_Column=$A69,IF(Activities_Column=G$61,Amount_Column),0))</f>
        <v>0</v>
      </c>
      <c r="H69" s="323">
        <f t="array" ref="H69">SUM(IF(Type_Of_Expenditures_Column=$A69,IF(Activities_Column=H$61,Amount_Column),0))</f>
        <v>0</v>
      </c>
      <c r="I69" s="323">
        <f t="array" ref="I69">SUM(IF(Type_Of_Expenditures_Column=$A69,IF(Activities_Column=I$61,Amount_Column),0))</f>
        <v>0</v>
      </c>
      <c r="J69" s="323">
        <f t="array" ref="J69">SUM(IF(Type_Of_Expenditures_Column=$A69,IF(Activities_Column=J$61,Amount_Column),0))</f>
        <v>0</v>
      </c>
      <c r="K69" s="324">
        <f t="shared" si="8"/>
        <v>0</v>
      </c>
      <c r="L69" s="325">
        <f t="shared" si="7"/>
        <v>0</v>
      </c>
    </row>
    <row r="70" spans="1:12" ht="34.5" customHeight="1" thickBot="1" x14ac:dyDescent="0.25">
      <c r="A70" s="322" t="s">
        <v>1405</v>
      </c>
      <c r="B70" s="686"/>
      <c r="C70" s="686"/>
      <c r="D70" s="686"/>
      <c r="E70" s="686"/>
      <c r="F70" s="686"/>
      <c r="G70" s="326"/>
      <c r="H70" s="326"/>
      <c r="I70" s="326"/>
      <c r="J70" s="327"/>
      <c r="K70" s="328">
        <f>amount_indirect_costs</f>
        <v>0</v>
      </c>
      <c r="L70" s="325">
        <f t="shared" si="7"/>
        <v>0</v>
      </c>
    </row>
    <row r="71" spans="1:12" ht="34.5" customHeight="1" thickBot="1" x14ac:dyDescent="0.25">
      <c r="A71" s="322" t="s">
        <v>1406</v>
      </c>
      <c r="B71" s="358"/>
      <c r="C71" s="358"/>
      <c r="D71" s="358"/>
      <c r="E71" s="358"/>
      <c r="F71" s="358"/>
      <c r="G71" s="358"/>
      <c r="H71" s="358"/>
      <c r="I71" s="358"/>
      <c r="J71" s="359"/>
      <c r="K71" s="328">
        <f>reserve_total</f>
        <v>0</v>
      </c>
      <c r="L71" s="325">
        <f t="shared" si="7"/>
        <v>0</v>
      </c>
    </row>
    <row r="72" spans="1:12" ht="34.5" customHeight="1" thickBot="1" x14ac:dyDescent="0.25">
      <c r="A72" s="322" t="s">
        <v>1407</v>
      </c>
      <c r="B72" s="358"/>
      <c r="C72" s="358"/>
      <c r="D72" s="358"/>
      <c r="E72" s="358"/>
      <c r="F72" s="358"/>
      <c r="G72" s="358"/>
      <c r="H72" s="358"/>
      <c r="I72" s="358"/>
      <c r="J72" s="359"/>
      <c r="K72" s="328">
        <f>in_kind_total</f>
        <v>0</v>
      </c>
      <c r="L72" s="325">
        <f t="shared" si="7"/>
        <v>0</v>
      </c>
    </row>
    <row r="73" spans="1:12" ht="34.5" customHeight="1" thickBot="1" x14ac:dyDescent="0.25">
      <c r="A73" s="306" t="s">
        <v>1369</v>
      </c>
      <c r="B73" s="329">
        <f t="shared" ref="B73:J73" si="9">SUM(B63:B69)</f>
        <v>0</v>
      </c>
      <c r="C73" s="329">
        <f t="shared" si="9"/>
        <v>0</v>
      </c>
      <c r="D73" s="329">
        <f t="shared" si="9"/>
        <v>0</v>
      </c>
      <c r="E73" s="329">
        <f t="shared" si="9"/>
        <v>0</v>
      </c>
      <c r="F73" s="329">
        <f t="shared" si="9"/>
        <v>0</v>
      </c>
      <c r="G73" s="329">
        <f t="shared" si="9"/>
        <v>0</v>
      </c>
      <c r="H73" s="329">
        <f t="shared" si="9"/>
        <v>0</v>
      </c>
      <c r="I73" s="329">
        <f t="shared" si="9"/>
        <v>0</v>
      </c>
      <c r="J73" s="329">
        <f t="shared" si="9"/>
        <v>0</v>
      </c>
      <c r="K73" s="330">
        <f>SUM(K63:K72)</f>
        <v>0</v>
      </c>
      <c r="L73" s="331"/>
    </row>
    <row r="74" spans="1:12" ht="34.5" customHeight="1" thickBot="1" x14ac:dyDescent="0.25">
      <c r="A74" s="306" t="s">
        <v>1408</v>
      </c>
      <c r="B74" s="332">
        <f>IF($K73=0,0,B73/$K$73)</f>
        <v>0</v>
      </c>
      <c r="C74" s="332">
        <f t="shared" ref="C74:J74" si="10">IF($K73=0,0,C73/$K$73)</f>
        <v>0</v>
      </c>
      <c r="D74" s="332">
        <f t="shared" si="10"/>
        <v>0</v>
      </c>
      <c r="E74" s="332">
        <f t="shared" si="10"/>
        <v>0</v>
      </c>
      <c r="F74" s="332">
        <f t="shared" si="10"/>
        <v>0</v>
      </c>
      <c r="G74" s="332">
        <f t="shared" si="10"/>
        <v>0</v>
      </c>
      <c r="H74" s="332">
        <f t="shared" si="10"/>
        <v>0</v>
      </c>
      <c r="I74" s="332">
        <f t="shared" si="10"/>
        <v>0</v>
      </c>
      <c r="J74" s="332">
        <f t="shared" si="10"/>
        <v>0</v>
      </c>
      <c r="K74" s="333" t="e">
        <f>K73/K73</f>
        <v>#DIV/0!</v>
      </c>
      <c r="L74" s="334"/>
    </row>
    <row r="78" spans="1:12" ht="12" thickBot="1" x14ac:dyDescent="0.25"/>
    <row r="79" spans="1:12" ht="42.75" customHeight="1" x14ac:dyDescent="0.2">
      <c r="A79" s="369" t="s">
        <v>1409</v>
      </c>
      <c r="B79" s="373" t="s">
        <v>1410</v>
      </c>
      <c r="C79" s="372" t="s">
        <v>1411</v>
      </c>
    </row>
    <row r="80" spans="1:12" ht="42.75" customHeight="1" x14ac:dyDescent="0.2">
      <c r="A80" s="370">
        <f t="array" ref="A80">INDEX(expenditure_items_list,MATCH(LARGE(Amount_Column-ROW(Amount_Column)/10^5,ROWS($1:1)),Amount_Column-ROW(Amount_Column)/10^5,0))</f>
        <v>0</v>
      </c>
      <c r="B80" s="374">
        <f t="shared" ref="B80:B89" si="11">LARGE(Amount_Column,ROW(A1))</f>
        <v>0</v>
      </c>
      <c r="C80" s="375" t="e">
        <f t="shared" ref="C80:C89" si="12">B80/total_eligible_expenditure_total</f>
        <v>#DIV/0!</v>
      </c>
    </row>
    <row r="81" spans="1:4" ht="42.75" customHeight="1" x14ac:dyDescent="0.2">
      <c r="A81" s="370">
        <f t="array" ref="A81">INDEX(expenditure_items_list,MATCH(LARGE(Amount_Column-ROW(Amount_Column)/10^5,ROWS($1:2)),Amount_Column-ROW(Amount_Column)/10^5,0))</f>
        <v>0</v>
      </c>
      <c r="B81" s="374">
        <f t="shared" si="11"/>
        <v>0</v>
      </c>
      <c r="C81" s="375" t="e">
        <f t="shared" si="12"/>
        <v>#DIV/0!</v>
      </c>
    </row>
    <row r="82" spans="1:4" ht="42.75" customHeight="1" x14ac:dyDescent="0.2">
      <c r="A82" s="370">
        <f t="array" ref="A82">INDEX(expenditure_items_list,MATCH(LARGE(Amount_Column-ROW(Amount_Column)/10^5,ROWS($1:3)),Amount_Column-ROW(Amount_Column)/10^5,0))</f>
        <v>0</v>
      </c>
      <c r="B82" s="374">
        <f t="shared" si="11"/>
        <v>0</v>
      </c>
      <c r="C82" s="375" t="e">
        <f t="shared" si="12"/>
        <v>#DIV/0!</v>
      </c>
    </row>
    <row r="83" spans="1:4" ht="42.75" customHeight="1" x14ac:dyDescent="0.2">
      <c r="A83" s="370">
        <f t="array" ref="A83">INDEX(expenditure_items_list,MATCH(LARGE(Amount_Column-ROW(Amount_Column)/10^5,ROWS($1:4)),Amount_Column-ROW(Amount_Column)/10^5,0))</f>
        <v>0</v>
      </c>
      <c r="B83" s="374">
        <f t="shared" si="11"/>
        <v>0</v>
      </c>
      <c r="C83" s="375" t="e">
        <f t="shared" si="12"/>
        <v>#DIV/0!</v>
      </c>
    </row>
    <row r="84" spans="1:4" ht="42.75" customHeight="1" x14ac:dyDescent="0.2">
      <c r="A84" s="370">
        <f t="array" ref="A84">INDEX(expenditure_items_list,MATCH(LARGE(Amount_Column-ROW(Amount_Column)/10^5,ROWS($1:5)),Amount_Column-ROW(Amount_Column)/10^5,0))</f>
        <v>0</v>
      </c>
      <c r="B84" s="374">
        <f t="shared" si="11"/>
        <v>0</v>
      </c>
      <c r="C84" s="375" t="e">
        <f t="shared" si="12"/>
        <v>#DIV/0!</v>
      </c>
    </row>
    <row r="85" spans="1:4" ht="42.75" customHeight="1" x14ac:dyDescent="0.2">
      <c r="A85" s="370">
        <f t="array" ref="A85">INDEX(expenditure_items_list,MATCH(LARGE(Amount_Column-ROW(Amount_Column)/10^5,ROWS($1:6)),Amount_Column-ROW(Amount_Column)/10^5,0))</f>
        <v>0</v>
      </c>
      <c r="B85" s="374">
        <f t="shared" si="11"/>
        <v>0</v>
      </c>
      <c r="C85" s="375" t="e">
        <f t="shared" si="12"/>
        <v>#DIV/0!</v>
      </c>
    </row>
    <row r="86" spans="1:4" ht="42.75" customHeight="1" x14ac:dyDescent="0.2">
      <c r="A86" s="370">
        <f t="array" ref="A86">INDEX(expenditure_items_list,MATCH(LARGE(Amount_Column-ROW(Amount_Column)/10^5,ROWS($1:7)),Amount_Column-ROW(Amount_Column)/10^5,0))</f>
        <v>0</v>
      </c>
      <c r="B86" s="374">
        <f t="shared" si="11"/>
        <v>0</v>
      </c>
      <c r="C86" s="375" t="e">
        <f t="shared" si="12"/>
        <v>#DIV/0!</v>
      </c>
    </row>
    <row r="87" spans="1:4" ht="42.75" customHeight="1" x14ac:dyDescent="0.2">
      <c r="A87" s="370">
        <f t="array" ref="A87">INDEX(expenditure_items_list,MATCH(LARGE(Amount_Column-ROW(Amount_Column)/10^5,ROWS($1:8)),Amount_Column-ROW(Amount_Column)/10^5,0))</f>
        <v>0</v>
      </c>
      <c r="B87" s="374">
        <f t="shared" si="11"/>
        <v>0</v>
      </c>
      <c r="C87" s="375" t="e">
        <f t="shared" si="12"/>
        <v>#DIV/0!</v>
      </c>
    </row>
    <row r="88" spans="1:4" ht="42.75" customHeight="1" x14ac:dyDescent="0.2">
      <c r="A88" s="370">
        <f t="array" ref="A88">INDEX(expenditure_items_list,MATCH(LARGE(Amount_Column-ROW(Amount_Column)/10^5,ROWS($1:9)),Amount_Column-ROW(Amount_Column)/10^5,0))</f>
        <v>0</v>
      </c>
      <c r="B88" s="374">
        <f t="shared" si="11"/>
        <v>0</v>
      </c>
      <c r="C88" s="375" t="e">
        <f t="shared" si="12"/>
        <v>#DIV/0!</v>
      </c>
    </row>
    <row r="89" spans="1:4" ht="42.75" customHeight="1" thickBot="1" x14ac:dyDescent="0.25">
      <c r="A89" s="371">
        <f t="array" ref="A89">INDEX(expenditure_items_list,MATCH(LARGE(Amount_Column-ROW(Amount_Column)/10^5,ROWS($1:10)),Amount_Column-ROW(Amount_Column)/10^5,0))</f>
        <v>0</v>
      </c>
      <c r="B89" s="376">
        <f t="shared" si="11"/>
        <v>0</v>
      </c>
      <c r="C89" s="377" t="e">
        <f t="shared" si="12"/>
        <v>#DIV/0!</v>
      </c>
    </row>
    <row r="92" spans="1:4" x14ac:dyDescent="0.2">
      <c r="A92" s="429" t="s">
        <v>1412</v>
      </c>
    </row>
    <row r="94" spans="1:4" ht="16.5" customHeight="1" x14ac:dyDescent="0.2"/>
    <row r="95" spans="1:4" ht="16.5" customHeight="1" thickBot="1" x14ac:dyDescent="0.25"/>
    <row r="96" spans="1:4" ht="16.5" customHeight="1" thickTop="1" x14ac:dyDescent="0.2">
      <c r="A96" s="421" t="s">
        <v>269</v>
      </c>
      <c r="B96" s="422" t="str">
        <f>Ziadatel!J710</f>
        <v>Začiatok</v>
      </c>
      <c r="C96" s="423" t="s">
        <v>476</v>
      </c>
      <c r="D96" s="424"/>
    </row>
    <row r="97" spans="1:8" ht="16.5" customHeight="1" x14ac:dyDescent="0.2">
      <c r="A97" s="419">
        <f>IF(ISBLANK(Ziadatel!C711),0,Ziadatel!C711)</f>
        <v>0</v>
      </c>
      <c r="B97" s="425">
        <f>IF(ISBLANK(Ziadatel!$J711),0,IFERROR(VALUE(SUBSTITUTE(SUBSTITUTE(Ziadatel!$J711,"do ",""), " mesiacov", "")),0))</f>
        <v>0</v>
      </c>
      <c r="C97" s="426">
        <f>IF(ISNUMBER(Ziadatel!L711),Ziadatel!L711,0)</f>
        <v>0</v>
      </c>
      <c r="D97" s="418"/>
      <c r="G97" s="418"/>
      <c r="H97" s="418"/>
    </row>
    <row r="98" spans="1:8" ht="16.5" customHeight="1" x14ac:dyDescent="0.2">
      <c r="A98" s="419">
        <f>IF(ISBLANK(Ziadatel!C712),0,Ziadatel!C712)</f>
        <v>0</v>
      </c>
      <c r="B98" s="425">
        <f>IF(ISBLANK(Ziadatel!$J712),0,IFERROR(VALUE(SUBSTITUTE(SUBSTITUTE(Ziadatel!$J712,"do ",""), " mesiacov", "")),0))</f>
        <v>0</v>
      </c>
      <c r="C98" s="426">
        <f>IF(ISNUMBER(Ziadatel!L712),Ziadatel!L712,0)</f>
        <v>0</v>
      </c>
      <c r="D98" s="418"/>
      <c r="G98" s="418"/>
      <c r="H98" s="418"/>
    </row>
    <row r="99" spans="1:8" ht="16.5" customHeight="1" x14ac:dyDescent="0.2">
      <c r="A99" s="419">
        <f>IF(ISBLANK(Ziadatel!C713),0,Ziadatel!C713)</f>
        <v>0</v>
      </c>
      <c r="B99" s="425">
        <f>IF(ISBLANK(Ziadatel!$J713),0,IFERROR(VALUE(SUBSTITUTE(SUBSTITUTE(Ziadatel!$J713,"do ",""), " mesiacov", "")),0))</f>
        <v>0</v>
      </c>
      <c r="C99" s="426">
        <f>IF(ISNUMBER(Ziadatel!L713),Ziadatel!L713,0)</f>
        <v>0</v>
      </c>
      <c r="D99" s="418"/>
      <c r="F99" s="418"/>
      <c r="G99" s="418"/>
      <c r="H99" s="418"/>
    </row>
    <row r="100" spans="1:8" ht="16.5" customHeight="1" x14ac:dyDescent="0.2">
      <c r="A100" s="419">
        <f>IF(ISBLANK(Ziadatel!C714),0,Ziadatel!C714)</f>
        <v>0</v>
      </c>
      <c r="B100" s="425">
        <f>IF(ISBLANK(Ziadatel!$J714),0,IFERROR(VALUE(SUBSTITUTE(SUBSTITUTE(Ziadatel!$J714,"do ",""), " mesiacov", "")),0))</f>
        <v>0</v>
      </c>
      <c r="C100" s="426">
        <f>IF(ISNUMBER(Ziadatel!L714),Ziadatel!L714,0)</f>
        <v>0</v>
      </c>
      <c r="D100" s="418"/>
      <c r="F100" s="418"/>
      <c r="G100" s="418"/>
      <c r="H100" s="418"/>
    </row>
    <row r="101" spans="1:8" ht="16.5" customHeight="1" x14ac:dyDescent="0.2">
      <c r="A101" s="419">
        <f>IF(ISBLANK(Ziadatel!C715),0,Ziadatel!C715)</f>
        <v>0</v>
      </c>
      <c r="B101" s="425">
        <f>IF(ISBLANK(Ziadatel!$J715),0,IFERROR(VALUE(SUBSTITUTE(SUBSTITUTE(Ziadatel!$J715,"do ",""), " mesiacov", "")),0))</f>
        <v>0</v>
      </c>
      <c r="C101" s="426">
        <f>IF(ISNUMBER(Ziadatel!L715),Ziadatel!L715,0)</f>
        <v>0</v>
      </c>
      <c r="D101" s="418"/>
      <c r="F101" s="418"/>
      <c r="G101" s="418"/>
      <c r="H101" s="418"/>
    </row>
    <row r="102" spans="1:8" ht="16.5" customHeight="1" x14ac:dyDescent="0.2">
      <c r="A102" s="419">
        <f>IF(ISBLANK(Ziadatel!C716),0,Ziadatel!C716)</f>
        <v>0</v>
      </c>
      <c r="B102" s="425">
        <f>IF(ISBLANK(Ziadatel!$J716),0,IFERROR(VALUE(SUBSTITUTE(SUBSTITUTE(Ziadatel!$J716,"do ",""), " mesiacov", "")),0))</f>
        <v>0</v>
      </c>
      <c r="C102" s="426">
        <f>IF(ISNUMBER(Ziadatel!L716),Ziadatel!L716,0)</f>
        <v>0</v>
      </c>
      <c r="D102" s="418"/>
      <c r="F102" s="418"/>
      <c r="G102" s="418"/>
      <c r="H102" s="418"/>
    </row>
    <row r="103" spans="1:8" ht="16.5" customHeight="1" x14ac:dyDescent="0.2">
      <c r="A103" s="419">
        <f>IF(ISBLANK(Ziadatel!C717),0,Ziadatel!C717)</f>
        <v>0</v>
      </c>
      <c r="B103" s="425">
        <f>IF(ISBLANK(Ziadatel!$J717),0,IFERROR(VALUE(SUBSTITUTE(SUBSTITUTE(Ziadatel!$J717,"do ",""), " mesiacov", "")),0))</f>
        <v>0</v>
      </c>
      <c r="C103" s="426">
        <f>IF(ISNUMBER(Ziadatel!L717),Ziadatel!L717,0)</f>
        <v>0</v>
      </c>
      <c r="D103" s="418"/>
      <c r="F103" s="418"/>
      <c r="G103" s="418"/>
      <c r="H103" s="418"/>
    </row>
    <row r="104" spans="1:8" ht="16.5" customHeight="1" x14ac:dyDescent="0.2">
      <c r="A104" s="419">
        <f>IF(ISBLANK(Ziadatel!C718),0,Ziadatel!C718)</f>
        <v>0</v>
      </c>
      <c r="B104" s="425">
        <f>IF(ISBLANK(Ziadatel!$J718),0,IFERROR(VALUE(SUBSTITUTE(SUBSTITUTE(Ziadatel!$J718,"do ",""), " mesiacov", "")),0))</f>
        <v>0</v>
      </c>
      <c r="C104" s="426">
        <f>IF(ISNUMBER(Ziadatel!L718),Ziadatel!L718,0)</f>
        <v>0</v>
      </c>
      <c r="D104" s="418"/>
      <c r="F104" s="418"/>
      <c r="G104" s="418"/>
      <c r="H104" s="418"/>
    </row>
    <row r="105" spans="1:8" ht="16.5" customHeight="1" x14ac:dyDescent="0.2">
      <c r="A105" s="419">
        <f>IF(ISBLANK(Ziadatel!C719),0,Ziadatel!C719)</f>
        <v>0</v>
      </c>
      <c r="B105" s="425">
        <f>IF(ISBLANK(Ziadatel!$J719),0,IFERROR(VALUE(SUBSTITUTE(SUBSTITUTE(Ziadatel!$J719,"do ",""), " mesiacov", "")),0))</f>
        <v>0</v>
      </c>
      <c r="C105" s="426">
        <f>IF(ISNUMBER(Ziadatel!L719),Ziadatel!L719,0)</f>
        <v>0</v>
      </c>
      <c r="D105" s="418"/>
      <c r="F105" s="418"/>
      <c r="G105" s="418"/>
      <c r="H105" s="418"/>
    </row>
    <row r="106" spans="1:8" ht="16.5" customHeight="1" x14ac:dyDescent="0.2">
      <c r="A106" s="419">
        <f>IF(ISBLANK(Ziadatel!C720),0,Ziadatel!C720)</f>
        <v>0</v>
      </c>
      <c r="B106" s="425">
        <f>IF(ISBLANK(Ziadatel!$J720),0,IFERROR(VALUE(SUBSTITUTE(SUBSTITUTE(Ziadatel!$J720,"do ",""), " mesiacov", "")),0))</f>
        <v>0</v>
      </c>
      <c r="C106" s="426">
        <f>IF(ISNUMBER(Ziadatel!L720),Ziadatel!L720,0)</f>
        <v>0</v>
      </c>
      <c r="D106" s="418"/>
      <c r="F106" s="418"/>
      <c r="G106" s="418"/>
      <c r="H106" s="418"/>
    </row>
    <row r="107" spans="1:8" ht="16.5" customHeight="1" x14ac:dyDescent="0.2">
      <c r="A107" s="419">
        <f>IF(ISBLANK(Ziadatel!C721),0,Ziadatel!C721)</f>
        <v>0</v>
      </c>
      <c r="B107" s="425">
        <f>IF(ISBLANK(Ziadatel!$J721),0,IFERROR(VALUE(SUBSTITUTE(SUBSTITUTE(Ziadatel!$J721,"do ",""), " mesiacov", "")),0))</f>
        <v>0</v>
      </c>
      <c r="C107" s="426">
        <f>IF(ISNUMBER(Ziadatel!L721),Ziadatel!L721,0)</f>
        <v>0</v>
      </c>
      <c r="D107" s="418"/>
      <c r="F107" s="418"/>
      <c r="G107" s="418"/>
      <c r="H107" s="418"/>
    </row>
    <row r="108" spans="1:8" ht="16.5" customHeight="1" x14ac:dyDescent="0.2">
      <c r="A108" s="419">
        <f>IF(ISBLANK(Ziadatel!C722),0,Ziadatel!C722)</f>
        <v>0</v>
      </c>
      <c r="B108" s="425">
        <f>IF(ISBLANK(Ziadatel!$J722),0,IFERROR(VALUE(SUBSTITUTE(SUBSTITUTE(Ziadatel!$J722,"do ",""), " mesiacov", "")),0))</f>
        <v>0</v>
      </c>
      <c r="C108" s="426">
        <f>IF(ISNUMBER(Ziadatel!L722),Ziadatel!L722,0)</f>
        <v>0</v>
      </c>
      <c r="D108" s="418"/>
      <c r="F108" s="418"/>
      <c r="G108" s="418"/>
      <c r="H108" s="418"/>
    </row>
    <row r="109" spans="1:8" ht="16.5" customHeight="1" x14ac:dyDescent="0.2">
      <c r="A109" s="419">
        <f>IF(ISBLANK(Ziadatel!C723),0,Ziadatel!C723)</f>
        <v>0</v>
      </c>
      <c r="B109" s="425">
        <f>IF(ISBLANK(Ziadatel!$J723),0,IFERROR(VALUE(SUBSTITUTE(SUBSTITUTE(Ziadatel!$J723,"do ",""), " mesiacov", "")),0))</f>
        <v>0</v>
      </c>
      <c r="C109" s="426">
        <f>IF(ISNUMBER(Ziadatel!L723),Ziadatel!L723,0)</f>
        <v>0</v>
      </c>
      <c r="D109" s="418"/>
      <c r="F109" s="418"/>
      <c r="G109" s="418"/>
      <c r="H109" s="418"/>
    </row>
    <row r="110" spans="1:8" ht="16.5" customHeight="1" x14ac:dyDescent="0.2">
      <c r="A110" s="419">
        <f>IF(ISBLANK(Ziadatel!C724),0,Ziadatel!C724)</f>
        <v>0</v>
      </c>
      <c r="B110" s="425">
        <f>IF(ISBLANK(Ziadatel!$J724),0,IFERROR(VALUE(SUBSTITUTE(SUBSTITUTE(Ziadatel!$J724,"do ",""), " mesiacov", "")),0))</f>
        <v>0</v>
      </c>
      <c r="C110" s="426">
        <f>IF(ISNUMBER(Ziadatel!L724),Ziadatel!L724,0)</f>
        <v>0</v>
      </c>
      <c r="D110" s="418"/>
      <c r="F110" s="418"/>
      <c r="G110" s="418"/>
      <c r="H110" s="418"/>
    </row>
    <row r="111" spans="1:8" ht="16.5" customHeight="1" x14ac:dyDescent="0.2">
      <c r="A111" s="419">
        <f>IF(ISBLANK(Ziadatel!C725),0,Ziadatel!C725)</f>
        <v>0</v>
      </c>
      <c r="B111" s="425">
        <f>IF(ISBLANK(Ziadatel!$J725),0,IFERROR(VALUE(SUBSTITUTE(SUBSTITUTE(Ziadatel!$J725,"do ",""), " mesiacov", "")),0))</f>
        <v>0</v>
      </c>
      <c r="C111" s="426">
        <f>IF(ISNUMBER(Ziadatel!L725),Ziadatel!L725,0)</f>
        <v>0</v>
      </c>
      <c r="D111" s="418"/>
      <c r="F111" s="418"/>
      <c r="G111" s="418"/>
      <c r="H111" s="418"/>
    </row>
    <row r="112" spans="1:8" ht="16.5" customHeight="1" x14ac:dyDescent="0.2">
      <c r="A112" s="419">
        <f>IF(ISBLANK(Ziadatel!C726),0,Ziadatel!C726)</f>
        <v>0</v>
      </c>
      <c r="B112" s="425">
        <f>IF(ISBLANK(Ziadatel!$J726),0,IFERROR(VALUE(SUBSTITUTE(SUBSTITUTE(Ziadatel!$J726,"do ",""), " mesiacov", "")),0))</f>
        <v>0</v>
      </c>
      <c r="C112" s="426">
        <f>IF(ISNUMBER(Ziadatel!L726),Ziadatel!L726,0)</f>
        <v>0</v>
      </c>
      <c r="D112" s="418"/>
      <c r="F112" s="418"/>
      <c r="G112" s="418"/>
      <c r="H112" s="418"/>
    </row>
    <row r="113" spans="1:8" ht="16.5" customHeight="1" x14ac:dyDescent="0.2">
      <c r="A113" s="419">
        <f>IF(ISBLANK(Ziadatel!C727),0,Ziadatel!C727)</f>
        <v>0</v>
      </c>
      <c r="B113" s="425">
        <f>IF(ISBLANK(Ziadatel!$J727),0,IFERROR(VALUE(SUBSTITUTE(SUBSTITUTE(Ziadatel!$J727,"do ",""), " mesiacov", "")),0))</f>
        <v>0</v>
      </c>
      <c r="C113" s="426">
        <f>IF(ISNUMBER(Ziadatel!L727),Ziadatel!L727,0)</f>
        <v>0</v>
      </c>
      <c r="D113" s="418"/>
      <c r="F113" s="418"/>
      <c r="G113" s="418"/>
      <c r="H113" s="418"/>
    </row>
    <row r="114" spans="1:8" ht="16.5" customHeight="1" x14ac:dyDescent="0.2">
      <c r="A114" s="419">
        <f>IF(ISBLANK(Ziadatel!C728),0,Ziadatel!C728)</f>
        <v>0</v>
      </c>
      <c r="B114" s="425">
        <f>IF(ISBLANK(Ziadatel!$J728),0,IFERROR(VALUE(SUBSTITUTE(SUBSTITUTE(Ziadatel!$J728,"do ",""), " mesiacov", "")),0))</f>
        <v>0</v>
      </c>
      <c r="C114" s="426">
        <f>IF(ISNUMBER(Ziadatel!L728),Ziadatel!L728,0)</f>
        <v>0</v>
      </c>
      <c r="D114" s="418"/>
      <c r="F114" s="418"/>
      <c r="G114" s="418"/>
      <c r="H114" s="418"/>
    </row>
    <row r="115" spans="1:8" ht="16.5" customHeight="1" x14ac:dyDescent="0.2">
      <c r="A115" s="419">
        <f>IF(ISBLANK(Ziadatel!C729),0,Ziadatel!C729)</f>
        <v>0</v>
      </c>
      <c r="B115" s="425">
        <f>IF(ISBLANK(Ziadatel!$J729),0,IFERROR(VALUE(SUBSTITUTE(SUBSTITUTE(Ziadatel!$J729,"do ",""), " mesiacov", "")),0))</f>
        <v>0</v>
      </c>
      <c r="C115" s="426">
        <f>IF(ISNUMBER(Ziadatel!L729),Ziadatel!L729,0)</f>
        <v>0</v>
      </c>
      <c r="D115" s="418"/>
      <c r="F115" s="418"/>
      <c r="G115" s="418"/>
      <c r="H115" s="418"/>
    </row>
    <row r="116" spans="1:8" ht="16.5" customHeight="1" x14ac:dyDescent="0.2">
      <c r="A116" s="419">
        <f>IF(ISBLANK(Ziadatel!C730),0,Ziadatel!C730)</f>
        <v>0</v>
      </c>
      <c r="B116" s="425">
        <f>IF(ISBLANK(Ziadatel!$J730),0,IFERROR(VALUE(SUBSTITUTE(SUBSTITUTE(Ziadatel!$J730,"do ",""), " mesiacov", "")),0))</f>
        <v>0</v>
      </c>
      <c r="C116" s="426">
        <f>IF(ISNUMBER(Ziadatel!L730),Ziadatel!L730,0)</f>
        <v>0</v>
      </c>
      <c r="D116" s="418"/>
      <c r="F116" s="418"/>
      <c r="G116" s="418"/>
      <c r="H116" s="418"/>
    </row>
    <row r="117" spans="1:8" ht="16.5" customHeight="1" x14ac:dyDescent="0.2">
      <c r="A117" s="419">
        <f>IF(ISBLANK(Ziadatel!C731),0,Ziadatel!C731)</f>
        <v>0</v>
      </c>
      <c r="B117" s="425">
        <f>IF(ISBLANK(Ziadatel!$J731),0,IFERROR(VALUE(SUBSTITUTE(SUBSTITUTE(Ziadatel!$J731,"do ",""), " mesiacov", "")),0))</f>
        <v>0</v>
      </c>
      <c r="C117" s="426">
        <f>IF(ISNUMBER(Ziadatel!L731),Ziadatel!L731,0)</f>
        <v>0</v>
      </c>
      <c r="D117" s="418"/>
      <c r="F117" s="418"/>
      <c r="G117" s="418"/>
      <c r="H117" s="418"/>
    </row>
    <row r="118" spans="1:8" ht="16.5" customHeight="1" x14ac:dyDescent="0.2">
      <c r="A118" s="419">
        <f>IF(ISBLANK(Ziadatel!C732),0,Ziadatel!C732)</f>
        <v>0</v>
      </c>
      <c r="B118" s="425">
        <f>IF(ISBLANK(Ziadatel!$J732),0,IFERROR(VALUE(SUBSTITUTE(SUBSTITUTE(Ziadatel!$J732,"do ",""), " mesiacov", "")),0))</f>
        <v>0</v>
      </c>
      <c r="C118" s="426">
        <f>IF(ISNUMBER(Ziadatel!L732),Ziadatel!L732,0)</f>
        <v>0</v>
      </c>
      <c r="D118" s="418"/>
      <c r="F118" s="418"/>
      <c r="G118" s="418"/>
      <c r="H118" s="418"/>
    </row>
    <row r="119" spans="1:8" ht="16.5" customHeight="1" x14ac:dyDescent="0.2">
      <c r="A119" s="419">
        <f>IF(ISBLANK(Ziadatel!C733),0,Ziadatel!C733)</f>
        <v>0</v>
      </c>
      <c r="B119" s="425">
        <f>IF(ISBLANK(Ziadatel!$J733),0,IFERROR(VALUE(SUBSTITUTE(SUBSTITUTE(Ziadatel!$J733,"do ",""), " mesiacov", "")),0))</f>
        <v>0</v>
      </c>
      <c r="C119" s="426">
        <f>IF(ISNUMBER(Ziadatel!L733),Ziadatel!L733,0)</f>
        <v>0</v>
      </c>
      <c r="D119" s="418"/>
      <c r="F119" s="418"/>
      <c r="G119" s="418"/>
      <c r="H119" s="418"/>
    </row>
    <row r="120" spans="1:8" ht="16.5" customHeight="1" x14ac:dyDescent="0.2">
      <c r="A120" s="419">
        <f>IF(ISBLANK(Ziadatel!C734),0,Ziadatel!C734)</f>
        <v>0</v>
      </c>
      <c r="B120" s="425">
        <f>IF(ISBLANK(Ziadatel!$J734),0,IFERROR(VALUE(SUBSTITUTE(SUBSTITUTE(Ziadatel!$J734,"do ",""), " mesiacov", "")),0))</f>
        <v>0</v>
      </c>
      <c r="C120" s="426">
        <f>IF(ISNUMBER(Ziadatel!L734),Ziadatel!L734,0)</f>
        <v>0</v>
      </c>
      <c r="D120" s="418"/>
      <c r="F120" s="418"/>
      <c r="G120" s="418"/>
      <c r="H120" s="418"/>
    </row>
    <row r="121" spans="1:8" ht="16.5" customHeight="1" x14ac:dyDescent="0.2">
      <c r="A121" s="419">
        <f>IF(ISBLANK(Ziadatel!C735),0,Ziadatel!C735)</f>
        <v>0</v>
      </c>
      <c r="B121" s="425">
        <f>IF(ISBLANK(Ziadatel!$J735),0,IFERROR(VALUE(SUBSTITUTE(SUBSTITUTE(Ziadatel!$J735,"do ",""), " mesiacov", "")),0))</f>
        <v>0</v>
      </c>
      <c r="C121" s="426">
        <f>IF(ISNUMBER(Ziadatel!L735),Ziadatel!L735,0)</f>
        <v>0</v>
      </c>
      <c r="D121" s="418"/>
      <c r="F121" s="418"/>
      <c r="G121" s="418"/>
      <c r="H121" s="418"/>
    </row>
    <row r="122" spans="1:8" ht="16.5" customHeight="1" x14ac:dyDescent="0.2">
      <c r="A122" s="419">
        <f>IF(ISBLANK(Ziadatel!C736),0,Ziadatel!C736)</f>
        <v>0</v>
      </c>
      <c r="B122" s="425">
        <f>IF(ISBLANK(Ziadatel!$J736),0,IFERROR(VALUE(SUBSTITUTE(SUBSTITUTE(Ziadatel!$J736,"do ",""), " mesiacov", "")),0))</f>
        <v>0</v>
      </c>
      <c r="C122" s="426">
        <f>IF(ISNUMBER(Ziadatel!L736),Ziadatel!L736,0)</f>
        <v>0</v>
      </c>
      <c r="D122" s="418"/>
      <c r="F122" s="418"/>
      <c r="G122" s="418"/>
      <c r="H122" s="418"/>
    </row>
    <row r="123" spans="1:8" ht="16.5" customHeight="1" x14ac:dyDescent="0.2">
      <c r="A123" s="419">
        <f>IF(ISBLANK(Ziadatel!C737),0,Ziadatel!C737)</f>
        <v>0</v>
      </c>
      <c r="B123" s="425">
        <f>IF(ISBLANK(Ziadatel!$J737),0,IFERROR(VALUE(SUBSTITUTE(SUBSTITUTE(Ziadatel!$J737,"do ",""), " mesiacov", "")),0))</f>
        <v>0</v>
      </c>
      <c r="C123" s="426">
        <f>IF(ISNUMBER(Ziadatel!L737),Ziadatel!L737,0)</f>
        <v>0</v>
      </c>
      <c r="D123" s="418"/>
      <c r="F123" s="418"/>
      <c r="G123" s="418"/>
      <c r="H123" s="418"/>
    </row>
    <row r="124" spans="1:8" ht="16.5" customHeight="1" x14ac:dyDescent="0.2">
      <c r="A124" s="419">
        <f>IF(ISBLANK(Ziadatel!C738),0,Ziadatel!C738)</f>
        <v>0</v>
      </c>
      <c r="B124" s="425">
        <f>IF(ISBLANK(Ziadatel!$J738),0,IFERROR(VALUE(SUBSTITUTE(SUBSTITUTE(Ziadatel!$J738,"do ",""), " mesiacov", "")),0))</f>
        <v>0</v>
      </c>
      <c r="C124" s="426">
        <f>IF(ISNUMBER(Ziadatel!L738),Ziadatel!L738,0)</f>
        <v>0</v>
      </c>
      <c r="D124" s="418"/>
      <c r="F124" s="418"/>
      <c r="G124" s="418"/>
      <c r="H124" s="418"/>
    </row>
    <row r="125" spans="1:8" ht="16.5" customHeight="1" x14ac:dyDescent="0.2">
      <c r="A125" s="419">
        <f>IF(ISBLANK(Ziadatel!C739),0,Ziadatel!C739)</f>
        <v>0</v>
      </c>
      <c r="B125" s="425">
        <f>IF(ISBLANK(Ziadatel!$J739),0,IFERROR(VALUE(SUBSTITUTE(SUBSTITUTE(Ziadatel!$J739,"do ",""), " mesiacov", "")),0))</f>
        <v>0</v>
      </c>
      <c r="C125" s="426">
        <f>IF(ISNUMBER(Ziadatel!L739),Ziadatel!L739,0)</f>
        <v>0</v>
      </c>
      <c r="D125" s="418"/>
      <c r="F125" s="418"/>
      <c r="G125" s="418"/>
      <c r="H125" s="418"/>
    </row>
    <row r="126" spans="1:8" ht="16.5" customHeight="1" x14ac:dyDescent="0.2">
      <c r="A126" s="419">
        <f>IF(ISBLANK(Ziadatel!C740),0,Ziadatel!C740)</f>
        <v>0</v>
      </c>
      <c r="B126" s="425">
        <f>IF(ISBLANK(Ziadatel!$J740),0,IFERROR(VALUE(SUBSTITUTE(SUBSTITUTE(Ziadatel!$J740,"do ",""), " mesiacov", "")),0))</f>
        <v>0</v>
      </c>
      <c r="C126" s="426">
        <f>IF(ISNUMBER(Ziadatel!L740),Ziadatel!L740,0)</f>
        <v>0</v>
      </c>
      <c r="D126" s="418"/>
      <c r="F126" s="418"/>
      <c r="G126" s="418"/>
      <c r="H126" s="418"/>
    </row>
    <row r="127" spans="1:8" ht="16.5" customHeight="1" x14ac:dyDescent="0.2">
      <c r="A127" s="419">
        <f>IF(ISBLANK(Ziadatel!C741),0,Ziadatel!C741)</f>
        <v>0</v>
      </c>
      <c r="B127" s="425">
        <f>IF(ISBLANK(Ziadatel!$J741),0,IFERROR(VALUE(SUBSTITUTE(SUBSTITUTE(Ziadatel!$J741,"do ",""), " mesiacov", "")),0))</f>
        <v>0</v>
      </c>
      <c r="C127" s="426">
        <f>IF(ISNUMBER(Ziadatel!L741),Ziadatel!L741,0)</f>
        <v>0</v>
      </c>
      <c r="D127" s="418"/>
      <c r="F127" s="418"/>
      <c r="G127" s="418"/>
      <c r="H127" s="418"/>
    </row>
    <row r="128" spans="1:8" ht="16.5" customHeight="1" x14ac:dyDescent="0.2">
      <c r="A128" s="419">
        <f>IF(ISBLANK(Ziadatel!C742),0,Ziadatel!C742)</f>
        <v>0</v>
      </c>
      <c r="B128" s="425">
        <f>IF(ISBLANK(Ziadatel!$J742),0,IFERROR(VALUE(SUBSTITUTE(SUBSTITUTE(Ziadatel!$J742,"do ",""), " mesiacov", "")),0))</f>
        <v>0</v>
      </c>
      <c r="C128" s="426">
        <f>IF(ISNUMBER(Ziadatel!L742),Ziadatel!L742,0)</f>
        <v>0</v>
      </c>
      <c r="D128" s="418"/>
      <c r="F128" s="418"/>
      <c r="G128" s="418"/>
      <c r="H128" s="418"/>
    </row>
    <row r="129" spans="1:8" ht="16.5" customHeight="1" x14ac:dyDescent="0.2">
      <c r="A129" s="419">
        <f>IF(ISBLANK(Ziadatel!C743),0,Ziadatel!C743)</f>
        <v>0</v>
      </c>
      <c r="B129" s="425">
        <f>IF(ISBLANK(Ziadatel!$J743),0,IFERROR(VALUE(SUBSTITUTE(SUBSTITUTE(Ziadatel!$J743,"do ",""), " mesiacov", "")),0))</f>
        <v>0</v>
      </c>
      <c r="C129" s="426">
        <f>IF(ISNUMBER(Ziadatel!L743),Ziadatel!L743,0)</f>
        <v>0</v>
      </c>
      <c r="D129" s="418"/>
      <c r="F129" s="418"/>
      <c r="G129" s="418"/>
      <c r="H129" s="418"/>
    </row>
    <row r="130" spans="1:8" ht="16.5" customHeight="1" x14ac:dyDescent="0.2">
      <c r="A130" s="419">
        <f>IF(ISBLANK(Ziadatel!C744),0,Ziadatel!C744)</f>
        <v>0</v>
      </c>
      <c r="B130" s="425">
        <f>IF(ISBLANK(Ziadatel!$J744),0,IFERROR(VALUE(SUBSTITUTE(SUBSTITUTE(Ziadatel!$J744,"do ",""), " mesiacov", "")),0))</f>
        <v>0</v>
      </c>
      <c r="C130" s="426">
        <f>IF(ISNUMBER(Ziadatel!L744),Ziadatel!L744,0)</f>
        <v>0</v>
      </c>
      <c r="D130" s="418"/>
      <c r="F130" s="418"/>
      <c r="G130" s="418"/>
      <c r="H130" s="418"/>
    </row>
    <row r="131" spans="1:8" ht="16.5" customHeight="1" x14ac:dyDescent="0.2">
      <c r="A131" s="419">
        <f>IF(ISBLANK(Ziadatel!C745),0,Ziadatel!C745)</f>
        <v>0</v>
      </c>
      <c r="B131" s="425">
        <f>IF(ISBLANK(Ziadatel!$J745),0,IFERROR(VALUE(SUBSTITUTE(SUBSTITUTE(Ziadatel!$J745,"do ",""), " mesiacov", "")),0))</f>
        <v>0</v>
      </c>
      <c r="C131" s="426">
        <f>IF(ISNUMBER(Ziadatel!L745),Ziadatel!L745,0)</f>
        <v>0</v>
      </c>
      <c r="D131" s="418"/>
      <c r="F131" s="418"/>
      <c r="G131" s="418"/>
      <c r="H131" s="418"/>
    </row>
    <row r="132" spans="1:8" ht="16.5" customHeight="1" x14ac:dyDescent="0.2">
      <c r="A132" s="419">
        <f>IF(ISBLANK(Ziadatel!C746),0,Ziadatel!C746)</f>
        <v>0</v>
      </c>
      <c r="B132" s="425">
        <f>IF(ISBLANK(Ziadatel!$J746),0,IFERROR(VALUE(SUBSTITUTE(SUBSTITUTE(Ziadatel!$J746,"do ",""), " mesiacov", "")),0))</f>
        <v>0</v>
      </c>
      <c r="C132" s="426">
        <f>IF(ISNUMBER(Ziadatel!L746),Ziadatel!L746,0)</f>
        <v>0</v>
      </c>
      <c r="D132" s="418"/>
      <c r="F132" s="418"/>
      <c r="G132" s="418"/>
      <c r="H132" s="418"/>
    </row>
    <row r="133" spans="1:8" ht="16.5" customHeight="1" x14ac:dyDescent="0.2">
      <c r="A133" s="419">
        <f>IF(ISBLANK(Ziadatel!C747),0,Ziadatel!C747)</f>
        <v>0</v>
      </c>
      <c r="B133" s="425">
        <f>IF(ISBLANK(Ziadatel!$J747),0,IFERROR(VALUE(SUBSTITUTE(SUBSTITUTE(Ziadatel!$J747,"do ",""), " mesiacov", "")),0))</f>
        <v>0</v>
      </c>
      <c r="C133" s="426">
        <f>IF(ISNUMBER(Ziadatel!L747),Ziadatel!L747,0)</f>
        <v>0</v>
      </c>
      <c r="D133" s="418"/>
      <c r="F133" s="418"/>
      <c r="G133" s="418"/>
      <c r="H133" s="418"/>
    </row>
    <row r="134" spans="1:8" ht="16.5" customHeight="1" x14ac:dyDescent="0.2">
      <c r="A134" s="419">
        <f>IF(ISBLANK(Ziadatel!C748),0,Ziadatel!C748)</f>
        <v>0</v>
      </c>
      <c r="B134" s="425">
        <f>IF(ISBLANK(Ziadatel!$J748),0,IFERROR(VALUE(SUBSTITUTE(SUBSTITUTE(Ziadatel!$J748,"do ",""), " mesiacov", "")),0))</f>
        <v>0</v>
      </c>
      <c r="C134" s="426">
        <f>IF(ISNUMBER(Ziadatel!L748),Ziadatel!L748,0)</f>
        <v>0</v>
      </c>
      <c r="D134" s="418"/>
      <c r="F134" s="418"/>
      <c r="G134" s="418"/>
      <c r="H134" s="418"/>
    </row>
    <row r="135" spans="1:8" ht="16.5" customHeight="1" thickBot="1" x14ac:dyDescent="0.25">
      <c r="A135" s="420">
        <f>IF(ISBLANK(Ziadatel!C749),0,Ziadatel!C749)</f>
        <v>0</v>
      </c>
      <c r="B135" s="427">
        <f>IF(ISBLANK(Ziadatel!$J749),0,IFERROR(VALUE(SUBSTITUTE(SUBSTITUTE(Ziadatel!$J749,"do ",""), " mesiacov", "")),0))</f>
        <v>0</v>
      </c>
      <c r="C135" s="428">
        <f>IF(ISNUMBER(Ziadatel!L749),Ziadatel!L749,0)</f>
        <v>0</v>
      </c>
      <c r="D135" s="418"/>
      <c r="F135" s="418"/>
      <c r="G135" s="418"/>
      <c r="H135" s="418"/>
    </row>
    <row r="136" spans="1:8" ht="16.5" customHeight="1" thickTop="1" x14ac:dyDescent="0.2">
      <c r="B136" s="418"/>
      <c r="C136" s="418"/>
      <c r="D136" s="418"/>
      <c r="E136" s="418"/>
      <c r="F136" s="418"/>
      <c r="G136" s="418"/>
    </row>
    <row r="137" spans="1:8" ht="16.5" customHeight="1" x14ac:dyDescent="0.2"/>
    <row r="138" spans="1:8" ht="16.5" customHeight="1" x14ac:dyDescent="0.2"/>
    <row r="139" spans="1:8" ht="16.5" customHeight="1" x14ac:dyDescent="0.2"/>
    <row r="140" spans="1:8" ht="16.5" customHeight="1" x14ac:dyDescent="0.2"/>
    <row r="141" spans="1:8" ht="16.5" customHeight="1" x14ac:dyDescent="0.2"/>
    <row r="142" spans="1:8" ht="16.5" customHeight="1" x14ac:dyDescent="0.2"/>
    <row r="143" spans="1:8" ht="16.5" customHeight="1" x14ac:dyDescent="0.2"/>
    <row r="144" spans="1:8" ht="16.5" customHeight="1" x14ac:dyDescent="0.2"/>
    <row r="145" ht="16.5" customHeight="1" x14ac:dyDescent="0.2"/>
    <row r="146" ht="16.5" customHeight="1" x14ac:dyDescent="0.2"/>
    <row r="147" ht="16.5" customHeight="1" x14ac:dyDescent="0.2"/>
    <row r="148" ht="16.5" customHeight="1" x14ac:dyDescent="0.2"/>
    <row r="149" ht="16.5" customHeight="1" x14ac:dyDescent="0.2"/>
    <row r="150" ht="16.5" customHeight="1" x14ac:dyDescent="0.2"/>
    <row r="151" ht="16.5" customHeight="1" x14ac:dyDescent="0.2"/>
    <row r="152" ht="16.5" customHeight="1" x14ac:dyDescent="0.2"/>
    <row r="153" ht="16.5" customHeight="1" x14ac:dyDescent="0.2"/>
    <row r="154" ht="16.5" customHeight="1" x14ac:dyDescent="0.2"/>
    <row r="155" ht="16.5" customHeight="1" x14ac:dyDescent="0.2"/>
    <row r="156" ht="16.5" customHeight="1" x14ac:dyDescent="0.2"/>
    <row r="157" ht="16.5" customHeight="1" x14ac:dyDescent="0.2"/>
    <row r="158" ht="16.5" customHeight="1" x14ac:dyDescent="0.2"/>
    <row r="159" ht="16.5" customHeight="1" x14ac:dyDescent="0.2"/>
    <row r="160" ht="16.5" customHeight="1" x14ac:dyDescent="0.2"/>
    <row r="161" ht="16.5" customHeight="1" x14ac:dyDescent="0.2"/>
  </sheetData>
  <sheetProtection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tabSelected="1" topLeftCell="AH94" zoomScale="130" zoomScaleNormal="130" workbookViewId="0">
      <selection activeCell="AR104" sqref="AR104"/>
    </sheetView>
  </sheetViews>
  <sheetFormatPr defaultRowHeight="11.25" x14ac:dyDescent="0.2"/>
  <cols>
    <col min="1" max="1" width="17.140625" style="219" customWidth="1"/>
    <col min="2" max="2" width="9.140625" style="219"/>
    <col min="3" max="3" width="18.28515625" style="219" customWidth="1"/>
    <col min="4" max="6" width="9.140625" style="219"/>
    <col min="7" max="7" width="17.140625" style="219" customWidth="1"/>
    <col min="8" max="11" width="9.140625" style="219"/>
    <col min="12" max="12" width="35.140625" style="219" customWidth="1"/>
    <col min="13" max="13" width="18.140625" style="219" customWidth="1"/>
    <col min="14" max="14" width="35.140625" style="219" customWidth="1"/>
    <col min="15" max="15" width="10.7109375" style="236" customWidth="1"/>
    <col min="16" max="16" width="20.140625" style="219" customWidth="1"/>
    <col min="17" max="18" width="15.85546875" style="219" customWidth="1"/>
    <col min="19" max="19" width="18.85546875" style="219" customWidth="1"/>
    <col min="20" max="25" width="9.140625" style="219"/>
    <col min="26" max="26" width="23" style="219" customWidth="1"/>
    <col min="27" max="27" width="15.28515625" style="219" customWidth="1"/>
    <col min="28" max="28" width="18.85546875" style="219" customWidth="1"/>
    <col min="29" max="30" width="6.7109375" style="236" customWidth="1"/>
    <col min="31" max="33" width="9.140625" style="219"/>
    <col min="34" max="34" width="11.85546875" style="219" customWidth="1"/>
    <col min="35" max="36" width="9.140625" style="219"/>
    <col min="37" max="37" width="11.7109375" style="219" customWidth="1"/>
    <col min="38" max="38" width="25.85546875" style="219" customWidth="1"/>
    <col min="39" max="39" width="14.5703125" style="219" customWidth="1"/>
    <col min="40" max="41" width="9.140625" style="219"/>
    <col min="42" max="42" width="21.5703125" style="219" customWidth="1"/>
    <col min="43" max="51" width="9.140625" style="219"/>
    <col min="52" max="52" width="11.85546875" style="219" bestFit="1" customWidth="1"/>
    <col min="53" max="53" width="9.140625" style="219"/>
    <col min="54" max="54" width="9.140625" style="219" customWidth="1"/>
    <col min="55" max="16384" width="9.140625" style="219"/>
  </cols>
  <sheetData>
    <row r="1" spans="1:68" s="233" customFormat="1" x14ac:dyDescent="0.2">
      <c r="A1" s="233" t="s">
        <v>114</v>
      </c>
      <c r="B1" s="233" t="s">
        <v>26</v>
      </c>
      <c r="C1" s="233" t="s">
        <v>115</v>
      </c>
      <c r="D1" s="233" t="s">
        <v>124</v>
      </c>
      <c r="E1" s="233" t="s">
        <v>26</v>
      </c>
      <c r="F1" s="233" t="s">
        <v>130</v>
      </c>
      <c r="G1" s="233" t="s">
        <v>126</v>
      </c>
      <c r="H1" s="233" t="s">
        <v>134</v>
      </c>
      <c r="I1" s="233" t="s">
        <v>506</v>
      </c>
      <c r="J1" s="233" t="s">
        <v>135</v>
      </c>
      <c r="L1" s="233" t="s">
        <v>141</v>
      </c>
      <c r="M1" s="233" t="s">
        <v>124</v>
      </c>
      <c r="N1" s="233" t="s">
        <v>126</v>
      </c>
      <c r="O1" s="202" t="s">
        <v>146</v>
      </c>
      <c r="P1" s="233" t="s">
        <v>147</v>
      </c>
      <c r="Q1" s="233" t="s">
        <v>148</v>
      </c>
      <c r="R1" s="233" t="s">
        <v>151</v>
      </c>
      <c r="S1" s="233" t="s">
        <v>150</v>
      </c>
      <c r="T1" s="233" t="s">
        <v>153</v>
      </c>
      <c r="U1" s="233" t="s">
        <v>152</v>
      </c>
      <c r="V1" s="233" t="s">
        <v>154</v>
      </c>
      <c r="W1" s="233" t="s">
        <v>155</v>
      </c>
      <c r="X1" s="233" t="s">
        <v>156</v>
      </c>
      <c r="Y1" s="233" t="s">
        <v>161</v>
      </c>
      <c r="Z1" s="233" t="s">
        <v>168</v>
      </c>
      <c r="AA1" s="233" t="s">
        <v>26</v>
      </c>
      <c r="AB1" s="200" t="s">
        <v>162</v>
      </c>
      <c r="AC1" s="202" t="s">
        <v>163</v>
      </c>
      <c r="AD1" s="202" t="s">
        <v>164</v>
      </c>
      <c r="AE1" s="233" t="s">
        <v>212</v>
      </c>
      <c r="AF1" s="233" t="s">
        <v>213</v>
      </c>
      <c r="AG1" s="233" t="s">
        <v>213</v>
      </c>
      <c r="AH1" s="233" t="s">
        <v>215</v>
      </c>
      <c r="AI1" s="233" t="s">
        <v>213</v>
      </c>
      <c r="AJ1" s="233" t="s">
        <v>228</v>
      </c>
      <c r="AK1" s="233" t="s">
        <v>236</v>
      </c>
      <c r="AL1" s="233" t="s">
        <v>219</v>
      </c>
      <c r="AM1" s="233" t="s">
        <v>223</v>
      </c>
      <c r="AN1" s="233" t="s">
        <v>227</v>
      </c>
      <c r="AO1" s="233" t="s">
        <v>226</v>
      </c>
      <c r="AP1" s="391" t="s">
        <v>146</v>
      </c>
      <c r="AQ1" s="233" t="s">
        <v>184</v>
      </c>
      <c r="AR1" s="233" t="s">
        <v>185</v>
      </c>
      <c r="AS1" s="233" t="s">
        <v>186</v>
      </c>
      <c r="AT1" s="233" t="s">
        <v>187</v>
      </c>
      <c r="AU1" s="233" t="s">
        <v>188</v>
      </c>
      <c r="AV1" s="233" t="s">
        <v>189</v>
      </c>
      <c r="AW1" s="233" t="s">
        <v>247</v>
      </c>
      <c r="AX1" s="233" t="s">
        <v>249</v>
      </c>
      <c r="AY1" s="233" t="s">
        <v>250</v>
      </c>
      <c r="AZ1" s="233" t="s">
        <v>251</v>
      </c>
      <c r="BA1" s="233" t="s">
        <v>252</v>
      </c>
      <c r="BB1" s="233" t="s">
        <v>270</v>
      </c>
      <c r="BC1" s="233" t="s">
        <v>253</v>
      </c>
      <c r="BD1" s="233" t="s">
        <v>271</v>
      </c>
      <c r="BE1" s="233" t="s">
        <v>272</v>
      </c>
      <c r="BF1" s="233" t="s">
        <v>273</v>
      </c>
      <c r="BG1" s="233" t="s">
        <v>274</v>
      </c>
      <c r="BH1" s="233" t="s">
        <v>318</v>
      </c>
      <c r="BI1" s="233" t="s">
        <v>317</v>
      </c>
      <c r="BJ1" s="233" t="s">
        <v>316</v>
      </c>
      <c r="BK1" s="233" t="s">
        <v>322</v>
      </c>
      <c r="BL1" s="233" t="s">
        <v>329</v>
      </c>
      <c r="BM1" s="233" t="s">
        <v>213</v>
      </c>
      <c r="BN1" s="233" t="s">
        <v>330</v>
      </c>
      <c r="BO1" s="233" t="s">
        <v>470</v>
      </c>
      <c r="BP1" s="233" t="s">
        <v>471</v>
      </c>
    </row>
    <row r="2" spans="1:68" x14ac:dyDescent="0.2">
      <c r="A2" s="234" t="s">
        <v>39</v>
      </c>
      <c r="B2" s="234" t="s">
        <v>116</v>
      </c>
      <c r="C2" s="235" t="s">
        <v>39</v>
      </c>
      <c r="D2" s="219" t="s">
        <v>509</v>
      </c>
      <c r="E2" s="219" t="s">
        <v>127</v>
      </c>
      <c r="F2" s="219" t="s">
        <v>131</v>
      </c>
      <c r="G2" s="233" t="s">
        <v>127</v>
      </c>
      <c r="H2" s="233" t="s">
        <v>131</v>
      </c>
      <c r="I2" s="233"/>
      <c r="J2" s="219" t="s">
        <v>136</v>
      </c>
      <c r="K2" s="233"/>
      <c r="L2" s="201" t="s">
        <v>554</v>
      </c>
      <c r="M2" s="201" t="s">
        <v>138</v>
      </c>
      <c r="N2" s="200" t="s">
        <v>138</v>
      </c>
      <c r="P2" s="237" t="s">
        <v>679</v>
      </c>
      <c r="Q2" s="237" t="s">
        <v>682</v>
      </c>
      <c r="R2" s="237" t="s">
        <v>684</v>
      </c>
      <c r="S2" s="219" t="s">
        <v>1381</v>
      </c>
      <c r="T2" s="219" t="s">
        <v>692</v>
      </c>
      <c r="U2" s="238" t="s">
        <v>693</v>
      </c>
      <c r="V2" s="219" t="s">
        <v>723</v>
      </c>
      <c r="W2" s="219" t="s">
        <v>725</v>
      </c>
      <c r="X2" s="219" t="s">
        <v>727</v>
      </c>
      <c r="Y2" s="219" t="s">
        <v>732</v>
      </c>
      <c r="Z2" s="200" t="s">
        <v>735</v>
      </c>
      <c r="AA2" s="233" t="s">
        <v>169</v>
      </c>
      <c r="AB2" s="233" t="s">
        <v>169</v>
      </c>
      <c r="AC2" s="202"/>
      <c r="AD2" s="202"/>
      <c r="AE2" s="219" t="s">
        <v>797</v>
      </c>
      <c r="AF2" s="219" t="s">
        <v>182</v>
      </c>
      <c r="AG2" s="219" t="s">
        <v>216</v>
      </c>
      <c r="AH2" s="233" t="s">
        <v>216</v>
      </c>
      <c r="AL2" s="233" t="s">
        <v>220</v>
      </c>
      <c r="AM2" s="233" t="s">
        <v>229</v>
      </c>
      <c r="AP2" s="340"/>
      <c r="AW2" s="219" t="s">
        <v>1002</v>
      </c>
      <c r="AX2" s="219" t="s">
        <v>1008</v>
      </c>
      <c r="AY2" s="219" t="s">
        <v>1010</v>
      </c>
      <c r="AZ2" s="219" t="s">
        <v>1014</v>
      </c>
      <c r="BA2" s="219" t="s">
        <v>1018</v>
      </c>
      <c r="BB2" s="219" t="s">
        <v>1022</v>
      </c>
      <c r="BC2" s="219">
        <v>1</v>
      </c>
      <c r="BD2" s="219" t="s">
        <v>1023</v>
      </c>
      <c r="BE2" s="219" t="s">
        <v>1027</v>
      </c>
      <c r="BF2" s="340" t="s">
        <v>1030</v>
      </c>
      <c r="BG2" s="219" t="s">
        <v>275</v>
      </c>
      <c r="BH2" s="340">
        <v>200000</v>
      </c>
      <c r="BI2" s="340">
        <v>1000000</v>
      </c>
      <c r="BJ2" s="219" t="s">
        <v>1038</v>
      </c>
      <c r="BK2" s="219" t="s">
        <v>1043</v>
      </c>
      <c r="BL2" s="219" t="s">
        <v>1045</v>
      </c>
      <c r="BM2" s="219" t="s">
        <v>323</v>
      </c>
      <c r="BN2" s="233" t="s">
        <v>323</v>
      </c>
      <c r="BO2" s="219" t="s">
        <v>723</v>
      </c>
      <c r="BP2" s="392">
        <v>0.5</v>
      </c>
    </row>
    <row r="3" spans="1:68" x14ac:dyDescent="0.2">
      <c r="A3" s="234" t="s">
        <v>53</v>
      </c>
      <c r="B3" s="234" t="s">
        <v>117</v>
      </c>
      <c r="C3" s="234" t="s">
        <v>113</v>
      </c>
      <c r="D3" s="219" t="s">
        <v>510</v>
      </c>
      <c r="E3" s="219" t="s">
        <v>502</v>
      </c>
      <c r="F3" s="219" t="s">
        <v>503</v>
      </c>
      <c r="G3" s="219" t="s">
        <v>513</v>
      </c>
      <c r="H3" s="219" t="s">
        <v>525</v>
      </c>
      <c r="I3" s="392">
        <v>1</v>
      </c>
      <c r="J3" s="219" t="s">
        <v>137</v>
      </c>
      <c r="L3" s="201" t="s">
        <v>555</v>
      </c>
      <c r="M3" s="201" t="s">
        <v>139</v>
      </c>
      <c r="N3" s="201" t="s">
        <v>563</v>
      </c>
      <c r="O3" s="203">
        <v>1111000</v>
      </c>
      <c r="P3" s="237" t="s">
        <v>680</v>
      </c>
      <c r="Q3" s="237" t="s">
        <v>683</v>
      </c>
      <c r="R3" s="237" t="s">
        <v>685</v>
      </c>
      <c r="S3" s="219" t="s">
        <v>1382</v>
      </c>
      <c r="T3" s="219" t="s">
        <v>32</v>
      </c>
      <c r="U3" s="238" t="s">
        <v>694</v>
      </c>
      <c r="V3" s="219" t="s">
        <v>724</v>
      </c>
      <c r="W3" s="219" t="s">
        <v>726</v>
      </c>
      <c r="X3" s="219" t="s">
        <v>728</v>
      </c>
      <c r="Y3" s="219" t="s">
        <v>733</v>
      </c>
      <c r="Z3" s="200" t="s">
        <v>736</v>
      </c>
      <c r="AA3" s="233" t="s">
        <v>170</v>
      </c>
      <c r="AB3" s="201" t="s">
        <v>746</v>
      </c>
      <c r="AC3" s="203"/>
      <c r="AD3" s="203" t="s">
        <v>165</v>
      </c>
      <c r="AE3" s="219" t="s">
        <v>798</v>
      </c>
      <c r="AF3" s="219" t="s">
        <v>268</v>
      </c>
      <c r="AG3" s="219" t="s">
        <v>267</v>
      </c>
      <c r="AH3" s="219" t="s">
        <v>800</v>
      </c>
      <c r="AI3" s="233" t="s">
        <v>220</v>
      </c>
      <c r="AJ3" s="233" t="s">
        <v>229</v>
      </c>
      <c r="AK3" s="233" t="s">
        <v>237</v>
      </c>
      <c r="AL3" s="219" t="s">
        <v>803</v>
      </c>
      <c r="AM3" s="219" t="s">
        <v>832</v>
      </c>
      <c r="AN3" s="219" t="s">
        <v>682</v>
      </c>
      <c r="AO3" s="219" t="s">
        <v>833</v>
      </c>
      <c r="AP3" s="340" t="s">
        <v>338</v>
      </c>
      <c r="AQ3" s="219" t="s">
        <v>834</v>
      </c>
      <c r="AR3" s="219" t="s">
        <v>835</v>
      </c>
      <c r="AS3" s="219" t="s">
        <v>836</v>
      </c>
      <c r="AT3" s="219" t="s">
        <v>190</v>
      </c>
      <c r="AU3" s="219" t="s">
        <v>190</v>
      </c>
      <c r="AV3" s="219" t="s">
        <v>191</v>
      </c>
      <c r="AW3" s="219" t="s">
        <v>1003</v>
      </c>
      <c r="AX3" s="219" t="s">
        <v>1009</v>
      </c>
      <c r="AY3" s="219" t="s">
        <v>1011</v>
      </c>
      <c r="AZ3" s="219" t="s">
        <v>1015</v>
      </c>
      <c r="BA3" s="219" t="s">
        <v>1019</v>
      </c>
      <c r="BB3" s="219" t="s">
        <v>1273</v>
      </c>
      <c r="BC3" s="219">
        <v>1.41</v>
      </c>
      <c r="BD3" s="219" t="s">
        <v>1024</v>
      </c>
      <c r="BE3" s="219" t="s">
        <v>1028</v>
      </c>
      <c r="BF3" s="340" t="s">
        <v>1031</v>
      </c>
      <c r="BG3" s="219" t="s">
        <v>276</v>
      </c>
      <c r="BH3" s="340">
        <v>200000</v>
      </c>
      <c r="BI3" s="340">
        <v>1000000</v>
      </c>
      <c r="BJ3" s="219" t="s">
        <v>1039</v>
      </c>
      <c r="BK3" s="219" t="s">
        <v>1044</v>
      </c>
      <c r="BL3" s="219" t="s">
        <v>1046</v>
      </c>
      <c r="BM3" s="219" t="s">
        <v>324</v>
      </c>
      <c r="BN3" s="219" t="s">
        <v>1051</v>
      </c>
    </row>
    <row r="4" spans="1:68" x14ac:dyDescent="0.2">
      <c r="A4" s="234" t="s">
        <v>62</v>
      </c>
      <c r="B4" s="234" t="s">
        <v>118</v>
      </c>
      <c r="C4" s="234" t="s">
        <v>40</v>
      </c>
      <c r="D4" s="219" t="s">
        <v>511</v>
      </c>
      <c r="E4" s="219" t="s">
        <v>129</v>
      </c>
      <c r="F4" s="219" t="s">
        <v>133</v>
      </c>
      <c r="G4" s="219" t="s">
        <v>514</v>
      </c>
      <c r="H4" s="219" t="s">
        <v>526</v>
      </c>
      <c r="I4" s="392">
        <v>0.95</v>
      </c>
      <c r="J4" s="219" t="s">
        <v>550</v>
      </c>
      <c r="L4" s="201" t="s">
        <v>556</v>
      </c>
      <c r="M4" s="201" t="s">
        <v>125</v>
      </c>
      <c r="N4" s="201" t="s">
        <v>564</v>
      </c>
      <c r="O4" s="203">
        <v>1112000</v>
      </c>
      <c r="P4" s="237" t="s">
        <v>681</v>
      </c>
      <c r="Q4" s="237"/>
      <c r="R4" s="237" t="s">
        <v>686</v>
      </c>
      <c r="S4" s="219" t="s">
        <v>1383</v>
      </c>
      <c r="T4" s="219" t="s">
        <v>33</v>
      </c>
      <c r="U4" s="238" t="s">
        <v>695</v>
      </c>
      <c r="X4" s="219" t="s">
        <v>729</v>
      </c>
      <c r="Y4" s="219" t="s">
        <v>734</v>
      </c>
      <c r="Z4" s="200" t="s">
        <v>737</v>
      </c>
      <c r="AA4" s="233" t="s">
        <v>171</v>
      </c>
      <c r="AB4" s="201" t="s">
        <v>747</v>
      </c>
      <c r="AC4" s="203"/>
      <c r="AD4" s="203" t="s">
        <v>165</v>
      </c>
      <c r="AE4" s="219" t="s">
        <v>799</v>
      </c>
      <c r="AF4" s="219" t="s">
        <v>214</v>
      </c>
      <c r="AG4" s="219" t="s">
        <v>217</v>
      </c>
      <c r="AH4" s="219" t="s">
        <v>801</v>
      </c>
      <c r="AI4" s="233" t="s">
        <v>221</v>
      </c>
      <c r="AJ4" s="233" t="s">
        <v>230</v>
      </c>
      <c r="AK4" s="233" t="s">
        <v>238</v>
      </c>
      <c r="AL4" s="219" t="s">
        <v>804</v>
      </c>
      <c r="AM4" s="219" t="s">
        <v>837</v>
      </c>
      <c r="AN4" s="219" t="s">
        <v>682</v>
      </c>
      <c r="AO4" s="219" t="s">
        <v>833</v>
      </c>
      <c r="AP4" s="340" t="s">
        <v>339</v>
      </c>
      <c r="AQ4" s="219" t="s">
        <v>834</v>
      </c>
      <c r="AR4" s="219" t="s">
        <v>838</v>
      </c>
      <c r="AS4" s="219" t="s">
        <v>836</v>
      </c>
      <c r="AT4" s="219" t="s">
        <v>190</v>
      </c>
      <c r="AU4" s="219" t="s">
        <v>190</v>
      </c>
      <c r="AV4" s="219" t="s">
        <v>192</v>
      </c>
      <c r="AW4" s="219" t="s">
        <v>1004</v>
      </c>
      <c r="AY4" s="219" t="s">
        <v>1012</v>
      </c>
      <c r="AZ4" s="219" t="s">
        <v>1016</v>
      </c>
      <c r="BA4" s="219" t="s">
        <v>1020</v>
      </c>
      <c r="BB4" s="219" t="s">
        <v>1274</v>
      </c>
      <c r="BC4" s="219">
        <v>1.73</v>
      </c>
      <c r="BD4" s="219" t="s">
        <v>1025</v>
      </c>
      <c r="BE4" s="219" t="s">
        <v>1029</v>
      </c>
      <c r="BF4" s="340" t="s">
        <v>1032</v>
      </c>
      <c r="BG4" s="219" t="s">
        <v>277</v>
      </c>
      <c r="BH4" s="340">
        <v>200000</v>
      </c>
      <c r="BI4" s="340">
        <v>1000000</v>
      </c>
      <c r="BJ4" s="219" t="s">
        <v>1040</v>
      </c>
      <c r="BL4" s="219" t="s">
        <v>1047</v>
      </c>
      <c r="BM4" s="219" t="s">
        <v>325</v>
      </c>
      <c r="BN4" s="219" t="s">
        <v>1052</v>
      </c>
    </row>
    <row r="5" spans="1:68" x14ac:dyDescent="0.2">
      <c r="A5" s="234" t="s">
        <v>73</v>
      </c>
      <c r="B5" s="234" t="s">
        <v>119</v>
      </c>
      <c r="C5" s="234" t="s">
        <v>41</v>
      </c>
      <c r="D5" s="219" t="s">
        <v>512</v>
      </c>
      <c r="E5" s="219" t="s">
        <v>128</v>
      </c>
      <c r="F5" s="219" t="s">
        <v>132</v>
      </c>
      <c r="G5" s="219" t="s">
        <v>515</v>
      </c>
      <c r="H5" s="219" t="s">
        <v>527</v>
      </c>
      <c r="I5" s="392">
        <v>0.95</v>
      </c>
      <c r="J5" s="219" t="s">
        <v>551</v>
      </c>
      <c r="L5" s="201" t="s">
        <v>557</v>
      </c>
      <c r="M5" s="201" t="s">
        <v>142</v>
      </c>
      <c r="N5" s="201" t="s">
        <v>565</v>
      </c>
      <c r="O5" s="203">
        <v>1118100</v>
      </c>
      <c r="P5" s="237"/>
      <c r="Q5" s="237"/>
      <c r="R5" s="237" t="s">
        <v>687</v>
      </c>
      <c r="S5" s="219" t="s">
        <v>1384</v>
      </c>
      <c r="T5" s="219" t="s">
        <v>34</v>
      </c>
      <c r="U5" s="238" t="s">
        <v>696</v>
      </c>
      <c r="X5" s="219" t="s">
        <v>730</v>
      </c>
      <c r="Z5" s="200" t="s">
        <v>738</v>
      </c>
      <c r="AA5" s="233" t="s">
        <v>172</v>
      </c>
      <c r="AB5" s="201" t="s">
        <v>748</v>
      </c>
      <c r="AC5" s="203"/>
      <c r="AD5" s="203" t="s">
        <v>165</v>
      </c>
      <c r="AE5" s="219" t="s">
        <v>611</v>
      </c>
      <c r="AF5" s="219" t="s">
        <v>183</v>
      </c>
      <c r="AG5" s="219" t="s">
        <v>218</v>
      </c>
      <c r="AH5" s="219" t="s">
        <v>802</v>
      </c>
      <c r="AI5" s="233" t="s">
        <v>449</v>
      </c>
      <c r="AJ5" s="233" t="s">
        <v>231</v>
      </c>
      <c r="AK5" s="233" t="s">
        <v>456</v>
      </c>
      <c r="AL5" s="233" t="s">
        <v>221</v>
      </c>
      <c r="AM5" s="219" t="s">
        <v>839</v>
      </c>
      <c r="AN5" s="219" t="s">
        <v>682</v>
      </c>
      <c r="AO5" s="219" t="s">
        <v>840</v>
      </c>
      <c r="AP5" s="340" t="s">
        <v>340</v>
      </c>
      <c r="AQ5" s="219" t="s">
        <v>834</v>
      </c>
      <c r="AR5" s="219" t="s">
        <v>841</v>
      </c>
      <c r="AS5" s="219" t="s">
        <v>836</v>
      </c>
      <c r="AT5" s="219">
        <v>80</v>
      </c>
      <c r="AU5" s="219">
        <v>2017</v>
      </c>
      <c r="AV5" s="219">
        <v>100</v>
      </c>
      <c r="AW5" s="219" t="s">
        <v>1005</v>
      </c>
      <c r="AY5" s="219" t="s">
        <v>1013</v>
      </c>
      <c r="AZ5" s="219" t="s">
        <v>1017</v>
      </c>
      <c r="BA5" s="219" t="s">
        <v>1021</v>
      </c>
      <c r="BB5" s="219" t="s">
        <v>1275</v>
      </c>
      <c r="BC5" s="219">
        <v>2</v>
      </c>
      <c r="BD5" s="219" t="s">
        <v>1026</v>
      </c>
      <c r="BF5" s="340" t="s">
        <v>1033</v>
      </c>
      <c r="BG5" s="219" t="s">
        <v>278</v>
      </c>
      <c r="BH5" s="340">
        <v>200000</v>
      </c>
      <c r="BI5" s="340">
        <v>1000000</v>
      </c>
      <c r="BJ5" s="219" t="s">
        <v>1041</v>
      </c>
      <c r="BL5" s="219" t="s">
        <v>1048</v>
      </c>
      <c r="BM5" s="219" t="s">
        <v>326</v>
      </c>
      <c r="BN5" s="219" t="s">
        <v>1053</v>
      </c>
    </row>
    <row r="6" spans="1:68" x14ac:dyDescent="0.2">
      <c r="A6" s="234" t="s">
        <v>85</v>
      </c>
      <c r="B6" s="234" t="s">
        <v>120</v>
      </c>
      <c r="C6" s="234" t="s">
        <v>42</v>
      </c>
      <c r="G6" s="219" t="s">
        <v>516</v>
      </c>
      <c r="H6" s="219" t="s">
        <v>528</v>
      </c>
      <c r="I6" s="392">
        <v>0.95</v>
      </c>
      <c r="J6" s="219" t="s">
        <v>552</v>
      </c>
      <c r="L6" s="201" t="s">
        <v>558</v>
      </c>
      <c r="M6" s="201" t="s">
        <v>140</v>
      </c>
      <c r="N6" s="201" t="s">
        <v>566</v>
      </c>
      <c r="O6" s="203">
        <v>1122000</v>
      </c>
      <c r="P6" s="237"/>
      <c r="Q6" s="237"/>
      <c r="R6" s="237" t="s">
        <v>688</v>
      </c>
      <c r="S6" s="219" t="s">
        <v>1385</v>
      </c>
      <c r="T6" s="219" t="s">
        <v>35</v>
      </c>
      <c r="U6" s="238" t="s">
        <v>697</v>
      </c>
      <c r="X6" s="219" t="s">
        <v>731</v>
      </c>
      <c r="Z6" s="200" t="s">
        <v>739</v>
      </c>
      <c r="AA6" s="233" t="s">
        <v>173</v>
      </c>
      <c r="AB6" s="233" t="s">
        <v>170</v>
      </c>
      <c r="AC6" s="202"/>
      <c r="AD6" s="202"/>
      <c r="AH6" s="233" t="s">
        <v>267</v>
      </c>
      <c r="AI6" s="233"/>
      <c r="AJ6" s="233"/>
      <c r="AK6" s="233"/>
      <c r="AL6" s="219" t="s">
        <v>805</v>
      </c>
      <c r="AM6" s="219" t="s">
        <v>842</v>
      </c>
      <c r="AN6" s="219" t="s">
        <v>682</v>
      </c>
      <c r="AO6" s="219" t="s">
        <v>833</v>
      </c>
      <c r="AP6" s="340" t="s">
        <v>341</v>
      </c>
      <c r="AQ6" s="219" t="s">
        <v>843</v>
      </c>
      <c r="AR6" s="219" t="s">
        <v>844</v>
      </c>
      <c r="AS6" s="219" t="s">
        <v>836</v>
      </c>
      <c r="AT6" s="219">
        <v>0</v>
      </c>
      <c r="AU6" s="219" t="s">
        <v>3</v>
      </c>
      <c r="AV6" s="219">
        <v>21</v>
      </c>
      <c r="AW6" s="219" t="s">
        <v>1006</v>
      </c>
      <c r="BB6" s="219" t="s">
        <v>1276</v>
      </c>
      <c r="BC6" s="219">
        <v>1.41</v>
      </c>
      <c r="BD6" s="219" t="s">
        <v>553</v>
      </c>
      <c r="BF6" s="340" t="s">
        <v>1034</v>
      </c>
      <c r="BG6" s="219" t="s">
        <v>279</v>
      </c>
      <c r="BH6" s="340">
        <v>200000</v>
      </c>
      <c r="BI6" s="340">
        <v>1000000</v>
      </c>
      <c r="BJ6" s="219" t="s">
        <v>1042</v>
      </c>
      <c r="BL6" s="219" t="s">
        <v>1049</v>
      </c>
      <c r="BM6" s="219" t="s">
        <v>327</v>
      </c>
      <c r="BN6" s="219" t="s">
        <v>1054</v>
      </c>
    </row>
    <row r="7" spans="1:68" x14ac:dyDescent="0.2">
      <c r="A7" s="234" t="s">
        <v>99</v>
      </c>
      <c r="B7" s="234" t="s">
        <v>121</v>
      </c>
      <c r="C7" s="234" t="s">
        <v>43</v>
      </c>
      <c r="G7" s="219" t="s">
        <v>517</v>
      </c>
      <c r="H7" s="219" t="s">
        <v>529</v>
      </c>
      <c r="I7" s="392">
        <v>0.95</v>
      </c>
      <c r="J7" s="219" t="s">
        <v>553</v>
      </c>
      <c r="L7" s="201" t="s">
        <v>559</v>
      </c>
      <c r="M7" s="201" t="s">
        <v>78</v>
      </c>
      <c r="N7" s="201" t="s">
        <v>567</v>
      </c>
      <c r="O7" s="203">
        <v>1123000</v>
      </c>
      <c r="P7" s="237"/>
      <c r="Q7" s="237"/>
      <c r="R7" s="237" t="s">
        <v>689</v>
      </c>
      <c r="S7" s="219" t="s">
        <v>1386</v>
      </c>
      <c r="U7" s="238" t="s">
        <v>698</v>
      </c>
      <c r="Z7" s="200" t="s">
        <v>740</v>
      </c>
      <c r="AA7" s="233" t="s">
        <v>174</v>
      </c>
      <c r="AB7" s="201" t="s">
        <v>749</v>
      </c>
      <c r="AC7" s="203" t="s">
        <v>166</v>
      </c>
      <c r="AD7" s="203" t="s">
        <v>165</v>
      </c>
      <c r="AH7" s="219" t="s">
        <v>808</v>
      </c>
      <c r="AI7" s="233" t="s">
        <v>254</v>
      </c>
      <c r="AJ7" s="233" t="s">
        <v>258</v>
      </c>
      <c r="AK7" s="233" t="s">
        <v>263</v>
      </c>
      <c r="AL7" s="219" t="s">
        <v>806</v>
      </c>
      <c r="AM7" s="219" t="s">
        <v>845</v>
      </c>
      <c r="AN7" s="219" t="s">
        <v>683</v>
      </c>
      <c r="AO7" s="219" t="s">
        <v>840</v>
      </c>
      <c r="AP7" s="340" t="s">
        <v>333</v>
      </c>
      <c r="AQ7" s="219" t="s">
        <v>843</v>
      </c>
      <c r="AR7" s="219" t="s">
        <v>846</v>
      </c>
      <c r="AS7" s="219" t="s">
        <v>847</v>
      </c>
      <c r="AT7" s="219">
        <v>0</v>
      </c>
      <c r="AU7" s="219" t="s">
        <v>3</v>
      </c>
      <c r="AV7" s="219">
        <v>15</v>
      </c>
      <c r="AW7" s="219" t="s">
        <v>1165</v>
      </c>
      <c r="BB7" s="219" t="s">
        <v>1277</v>
      </c>
      <c r="BC7" s="219">
        <v>2</v>
      </c>
      <c r="BF7" s="340" t="s">
        <v>1035</v>
      </c>
      <c r="BG7" s="219" t="s">
        <v>280</v>
      </c>
      <c r="BH7" s="340">
        <v>200000</v>
      </c>
      <c r="BI7" s="340">
        <v>1000000</v>
      </c>
      <c r="BL7" s="219" t="s">
        <v>1050</v>
      </c>
      <c r="BM7" s="219" t="s">
        <v>328</v>
      </c>
      <c r="BN7" s="219" t="s">
        <v>1055</v>
      </c>
    </row>
    <row r="8" spans="1:68" x14ac:dyDescent="0.2">
      <c r="A8" s="234" t="s">
        <v>109</v>
      </c>
      <c r="B8" s="234" t="s">
        <v>122</v>
      </c>
      <c r="C8" s="234" t="s">
        <v>44</v>
      </c>
      <c r="G8" s="233" t="s">
        <v>128</v>
      </c>
      <c r="H8" s="219" t="s">
        <v>530</v>
      </c>
      <c r="I8" s="392">
        <v>1</v>
      </c>
      <c r="J8" s="233"/>
      <c r="K8" s="233"/>
      <c r="L8" s="201" t="s">
        <v>560</v>
      </c>
      <c r="M8" s="201" t="s">
        <v>143</v>
      </c>
      <c r="N8" s="201" t="s">
        <v>568</v>
      </c>
      <c r="O8" s="203">
        <v>1123200</v>
      </c>
      <c r="P8" s="237"/>
      <c r="Q8" s="237"/>
      <c r="R8" s="237" t="s">
        <v>690</v>
      </c>
      <c r="S8" s="219" t="s">
        <v>1387</v>
      </c>
      <c r="U8" s="238" t="s">
        <v>38</v>
      </c>
      <c r="Z8" s="200" t="s">
        <v>741</v>
      </c>
      <c r="AA8" s="233" t="s">
        <v>175</v>
      </c>
      <c r="AB8" s="201" t="s">
        <v>750</v>
      </c>
      <c r="AC8" s="203" t="s">
        <v>165</v>
      </c>
      <c r="AD8" s="203" t="s">
        <v>165</v>
      </c>
      <c r="AH8" s="219" t="s">
        <v>810</v>
      </c>
      <c r="AI8" s="233" t="s">
        <v>255</v>
      </c>
      <c r="AJ8" s="233" t="s">
        <v>259</v>
      </c>
      <c r="AK8" s="233" t="s">
        <v>264</v>
      </c>
      <c r="AL8" s="233" t="s">
        <v>449</v>
      </c>
      <c r="AM8" s="219" t="s">
        <v>848</v>
      </c>
      <c r="AN8" s="219" t="s">
        <v>683</v>
      </c>
      <c r="AO8" s="219" t="s">
        <v>840</v>
      </c>
      <c r="AP8" s="340" t="s">
        <v>334</v>
      </c>
      <c r="AQ8" s="219" t="s">
        <v>843</v>
      </c>
      <c r="AR8" s="219" t="s">
        <v>849</v>
      </c>
      <c r="AS8" s="219" t="s">
        <v>847</v>
      </c>
      <c r="AT8" s="219">
        <v>0</v>
      </c>
      <c r="AU8" s="219" t="s">
        <v>3</v>
      </c>
      <c r="AV8" s="219">
        <v>15</v>
      </c>
      <c r="AW8" s="219" t="s">
        <v>1007</v>
      </c>
      <c r="BB8" s="219" t="s">
        <v>1278</v>
      </c>
      <c r="BC8" s="219">
        <v>2.4500000000000002</v>
      </c>
      <c r="BF8" s="340" t="s">
        <v>1036</v>
      </c>
      <c r="BG8" s="219" t="s">
        <v>281</v>
      </c>
      <c r="BH8" s="340">
        <v>200000</v>
      </c>
      <c r="BI8" s="340">
        <v>1000000</v>
      </c>
      <c r="BN8" s="219" t="s">
        <v>1056</v>
      </c>
    </row>
    <row r="9" spans="1:68" x14ac:dyDescent="0.2">
      <c r="A9" s="234" t="s">
        <v>8</v>
      </c>
      <c r="B9" s="234" t="s">
        <v>123</v>
      </c>
      <c r="C9" s="234" t="s">
        <v>45</v>
      </c>
      <c r="G9" s="219" t="s">
        <v>518</v>
      </c>
      <c r="H9" s="219" t="s">
        <v>531</v>
      </c>
      <c r="I9" s="392">
        <v>1</v>
      </c>
      <c r="L9" s="201" t="s">
        <v>561</v>
      </c>
      <c r="M9" s="201" t="s">
        <v>144</v>
      </c>
      <c r="N9" s="201" t="s">
        <v>569</v>
      </c>
      <c r="O9" s="203">
        <v>1124000</v>
      </c>
      <c r="P9" s="237"/>
      <c r="Q9" s="237"/>
      <c r="S9" s="219" t="s">
        <v>1428</v>
      </c>
      <c r="U9" s="238" t="s">
        <v>699</v>
      </c>
      <c r="Z9" s="200" t="s">
        <v>742</v>
      </c>
      <c r="AA9" s="233" t="s">
        <v>176</v>
      </c>
      <c r="AB9" s="201" t="s">
        <v>751</v>
      </c>
      <c r="AC9" s="203" t="s">
        <v>165</v>
      </c>
      <c r="AD9" s="203"/>
      <c r="AH9" s="219" t="s">
        <v>813</v>
      </c>
      <c r="AI9" s="233" t="s">
        <v>256</v>
      </c>
      <c r="AJ9" s="233" t="s">
        <v>260</v>
      </c>
      <c r="AK9" s="233" t="s">
        <v>265</v>
      </c>
      <c r="AL9" s="219" t="s">
        <v>807</v>
      </c>
      <c r="AM9" s="219" t="s">
        <v>850</v>
      </c>
      <c r="AN9" s="219" t="s">
        <v>683</v>
      </c>
      <c r="AO9" s="219" t="s">
        <v>840</v>
      </c>
      <c r="AP9" s="340" t="s">
        <v>335</v>
      </c>
      <c r="AQ9" s="219" t="s">
        <v>843</v>
      </c>
      <c r="AR9" s="219" t="s">
        <v>851</v>
      </c>
      <c r="AS9" s="219" t="s">
        <v>847</v>
      </c>
      <c r="AT9" s="219">
        <v>0</v>
      </c>
      <c r="AU9" s="219" t="s">
        <v>3</v>
      </c>
      <c r="AV9" s="219">
        <v>15</v>
      </c>
      <c r="BB9" s="219" t="s">
        <v>1279</v>
      </c>
      <c r="BC9" s="219">
        <v>2.83</v>
      </c>
      <c r="BF9" s="340" t="s">
        <v>1037</v>
      </c>
      <c r="BG9" s="219" t="s">
        <v>282</v>
      </c>
      <c r="BH9" s="340">
        <v>200000</v>
      </c>
      <c r="BI9" s="340">
        <v>1000000</v>
      </c>
      <c r="BN9" s="219" t="s">
        <v>1057</v>
      </c>
    </row>
    <row r="10" spans="1:68" x14ac:dyDescent="0.2">
      <c r="C10" s="234" t="s">
        <v>46</v>
      </c>
      <c r="G10" s="233" t="s">
        <v>502</v>
      </c>
      <c r="H10" s="233" t="s">
        <v>132</v>
      </c>
      <c r="I10" s="233"/>
      <c r="J10" s="233"/>
      <c r="K10" s="233"/>
      <c r="L10" s="201" t="s">
        <v>562</v>
      </c>
      <c r="M10" s="201" t="s">
        <v>145</v>
      </c>
      <c r="N10" s="201" t="s">
        <v>570</v>
      </c>
      <c r="O10" s="203">
        <v>1132000</v>
      </c>
      <c r="P10" s="237"/>
      <c r="Q10" s="237"/>
      <c r="R10" s="237"/>
      <c r="S10" s="219" t="s">
        <v>1429</v>
      </c>
      <c r="U10" s="238" t="s">
        <v>700</v>
      </c>
      <c r="Z10" s="200" t="s">
        <v>743</v>
      </c>
      <c r="AA10" s="233" t="s">
        <v>177</v>
      </c>
      <c r="AB10" s="233" t="s">
        <v>171</v>
      </c>
      <c r="AC10" s="202"/>
      <c r="AD10" s="202"/>
      <c r="AH10" s="219" t="s">
        <v>816</v>
      </c>
      <c r="AI10" s="233" t="s">
        <v>257</v>
      </c>
      <c r="AJ10" s="233" t="s">
        <v>261</v>
      </c>
      <c r="AK10" s="233" t="s">
        <v>266</v>
      </c>
      <c r="AL10" s="233" t="s">
        <v>254</v>
      </c>
      <c r="AM10" s="219" t="s">
        <v>852</v>
      </c>
      <c r="AN10" s="219" t="s">
        <v>683</v>
      </c>
      <c r="AO10" s="219" t="s">
        <v>840</v>
      </c>
      <c r="AP10" s="340" t="s">
        <v>336</v>
      </c>
      <c r="AQ10" s="219" t="s">
        <v>843</v>
      </c>
      <c r="AR10" s="219" t="s">
        <v>853</v>
      </c>
      <c r="AS10" s="219" t="s">
        <v>847</v>
      </c>
      <c r="AT10" s="219">
        <v>0</v>
      </c>
      <c r="AU10" s="219" t="s">
        <v>3</v>
      </c>
      <c r="AV10" s="219">
        <v>15</v>
      </c>
      <c r="BB10" s="219" t="s">
        <v>1280</v>
      </c>
      <c r="BC10" s="219">
        <v>1.73</v>
      </c>
      <c r="BG10" s="219" t="s">
        <v>283</v>
      </c>
      <c r="BH10" s="340">
        <v>200000</v>
      </c>
      <c r="BI10" s="340">
        <v>1000000</v>
      </c>
      <c r="BN10" s="233" t="s">
        <v>324</v>
      </c>
    </row>
    <row r="11" spans="1:68" x14ac:dyDescent="0.2">
      <c r="C11" s="234" t="s">
        <v>47</v>
      </c>
      <c r="G11" s="219" t="s">
        <v>519</v>
      </c>
      <c r="H11" s="219" t="s">
        <v>518</v>
      </c>
      <c r="I11" s="392">
        <v>0.85</v>
      </c>
      <c r="N11" s="201" t="s">
        <v>571</v>
      </c>
      <c r="O11" s="203">
        <v>1133000</v>
      </c>
      <c r="P11" s="237"/>
      <c r="Q11" s="237"/>
      <c r="R11" s="237"/>
      <c r="S11" s="219" t="s">
        <v>1430</v>
      </c>
      <c r="U11" s="238" t="s">
        <v>701</v>
      </c>
      <c r="Z11" s="200" t="s">
        <v>744</v>
      </c>
      <c r="AA11" s="233" t="s">
        <v>178</v>
      </c>
      <c r="AB11" s="201" t="s">
        <v>752</v>
      </c>
      <c r="AC11" s="203"/>
      <c r="AD11" s="203" t="s">
        <v>167</v>
      </c>
      <c r="AH11" s="219" t="s">
        <v>818</v>
      </c>
      <c r="AI11" s="233" t="s">
        <v>450</v>
      </c>
      <c r="AJ11" s="233" t="s">
        <v>262</v>
      </c>
      <c r="AK11" s="233" t="s">
        <v>457</v>
      </c>
      <c r="AL11" s="219" t="s">
        <v>809</v>
      </c>
      <c r="AM11" s="219" t="s">
        <v>854</v>
      </c>
      <c r="AN11" s="219" t="s">
        <v>683</v>
      </c>
      <c r="AO11" s="219" t="s">
        <v>840</v>
      </c>
      <c r="AP11" s="340" t="s">
        <v>337</v>
      </c>
      <c r="AQ11" s="219" t="s">
        <v>843</v>
      </c>
      <c r="AR11" s="219" t="s">
        <v>846</v>
      </c>
      <c r="AS11" s="219" t="s">
        <v>847</v>
      </c>
      <c r="AT11" s="219">
        <v>0</v>
      </c>
      <c r="AU11" s="219" t="s">
        <v>3</v>
      </c>
      <c r="AV11" s="219">
        <v>5</v>
      </c>
      <c r="BB11" s="219" t="s">
        <v>1281</v>
      </c>
      <c r="BC11" s="219">
        <v>2.4500000000000002</v>
      </c>
      <c r="BG11" s="219" t="s">
        <v>284</v>
      </c>
      <c r="BH11" s="340">
        <v>200000</v>
      </c>
      <c r="BI11" s="340">
        <v>1000000</v>
      </c>
      <c r="BN11" s="219" t="s">
        <v>1058</v>
      </c>
    </row>
    <row r="12" spans="1:68" x14ac:dyDescent="0.2">
      <c r="C12" s="234" t="s">
        <v>48</v>
      </c>
      <c r="G12" s="219" t="s">
        <v>520</v>
      </c>
      <c r="H12" s="233" t="s">
        <v>503</v>
      </c>
      <c r="I12" s="233"/>
      <c r="N12" s="201" t="s">
        <v>572</v>
      </c>
      <c r="O12" s="203">
        <v>1142000</v>
      </c>
      <c r="P12" s="237"/>
      <c r="Q12" s="237"/>
      <c r="R12" s="237"/>
      <c r="S12" s="219" t="s">
        <v>1431</v>
      </c>
      <c r="U12" s="238" t="s">
        <v>702</v>
      </c>
      <c r="Z12" s="200" t="s">
        <v>745</v>
      </c>
      <c r="AA12" s="233" t="s">
        <v>179</v>
      </c>
      <c r="AB12" s="201" t="s">
        <v>753</v>
      </c>
      <c r="AC12" s="203" t="s">
        <v>165</v>
      </c>
      <c r="AD12" s="203"/>
      <c r="AH12" s="233" t="s">
        <v>218</v>
      </c>
      <c r="AI12" s="233"/>
      <c r="AJ12" s="233"/>
      <c r="AK12" s="233"/>
      <c r="AL12" s="233" t="s">
        <v>255</v>
      </c>
      <c r="AM12" s="219" t="s">
        <v>855</v>
      </c>
      <c r="AN12" s="219" t="s">
        <v>683</v>
      </c>
      <c r="AO12" s="219" t="s">
        <v>840</v>
      </c>
      <c r="AP12" s="340" t="s">
        <v>333</v>
      </c>
      <c r="AQ12" s="219" t="s">
        <v>843</v>
      </c>
      <c r="AR12" s="219" t="s">
        <v>856</v>
      </c>
      <c r="AS12" s="219" t="s">
        <v>847</v>
      </c>
      <c r="AT12" s="219">
        <v>0</v>
      </c>
      <c r="AU12" s="219" t="s">
        <v>3</v>
      </c>
      <c r="AV12" s="219">
        <v>3</v>
      </c>
      <c r="BB12" s="219" t="s">
        <v>1282</v>
      </c>
      <c r="BC12" s="219">
        <v>3</v>
      </c>
      <c r="BG12" s="219" t="s">
        <v>285</v>
      </c>
      <c r="BH12" s="340">
        <v>200000</v>
      </c>
      <c r="BI12" s="340">
        <v>1000000</v>
      </c>
      <c r="BN12" s="219" t="s">
        <v>1059</v>
      </c>
    </row>
    <row r="13" spans="1:68" x14ac:dyDescent="0.2">
      <c r="C13" s="234" t="s">
        <v>49</v>
      </c>
      <c r="G13" s="219" t="s">
        <v>521</v>
      </c>
      <c r="H13" s="219" t="s">
        <v>532</v>
      </c>
      <c r="I13" s="392">
        <v>0.9</v>
      </c>
      <c r="J13" s="233"/>
      <c r="K13" s="233"/>
      <c r="N13" s="200" t="s">
        <v>139</v>
      </c>
      <c r="P13" s="237"/>
      <c r="Q13" s="237"/>
      <c r="R13" s="237"/>
      <c r="S13" s="219" t="s">
        <v>691</v>
      </c>
      <c r="U13" s="238" t="s">
        <v>703</v>
      </c>
      <c r="AB13" s="201" t="s">
        <v>754</v>
      </c>
      <c r="AC13" s="203" t="s">
        <v>165</v>
      </c>
      <c r="AD13" s="203"/>
      <c r="AH13" s="219" t="s">
        <v>820</v>
      </c>
      <c r="AI13" s="233" t="s">
        <v>222</v>
      </c>
      <c r="AJ13" s="233" t="s">
        <v>232</v>
      </c>
      <c r="AK13" s="233" t="s">
        <v>239</v>
      </c>
      <c r="AL13" s="219" t="s">
        <v>811</v>
      </c>
      <c r="AM13" s="219" t="s">
        <v>857</v>
      </c>
      <c r="AN13" s="219" t="s">
        <v>683</v>
      </c>
      <c r="AO13" s="219" t="s">
        <v>840</v>
      </c>
      <c r="AP13" s="340" t="s">
        <v>342</v>
      </c>
      <c r="AQ13" s="219" t="s">
        <v>843</v>
      </c>
      <c r="AR13" s="219" t="s">
        <v>858</v>
      </c>
      <c r="AS13" s="219" t="s">
        <v>847</v>
      </c>
      <c r="AT13" s="219">
        <v>0</v>
      </c>
      <c r="AU13" s="219" t="s">
        <v>3</v>
      </c>
      <c r="AV13" s="219">
        <v>3</v>
      </c>
      <c r="BB13" s="219" t="s">
        <v>1283</v>
      </c>
      <c r="BC13" s="219">
        <v>3.46</v>
      </c>
      <c r="BG13" s="219" t="s">
        <v>286</v>
      </c>
      <c r="BH13" s="340">
        <v>200000</v>
      </c>
      <c r="BI13" s="340">
        <v>1000000</v>
      </c>
      <c r="BN13" s="219" t="s">
        <v>1060</v>
      </c>
    </row>
    <row r="14" spans="1:68" x14ac:dyDescent="0.2">
      <c r="C14" s="234" t="s">
        <v>50</v>
      </c>
      <c r="G14" s="233" t="s">
        <v>129</v>
      </c>
      <c r="H14" s="219" t="s">
        <v>533</v>
      </c>
      <c r="I14" s="392">
        <v>0.9</v>
      </c>
      <c r="N14" s="201" t="s">
        <v>573</v>
      </c>
      <c r="O14" s="203">
        <v>1211000</v>
      </c>
      <c r="U14" s="238" t="s">
        <v>704</v>
      </c>
      <c r="AB14" s="233" t="s">
        <v>172</v>
      </c>
      <c r="AC14" s="202"/>
      <c r="AD14" s="202"/>
      <c r="AH14" s="219" t="s">
        <v>822</v>
      </c>
      <c r="AI14" s="233" t="s">
        <v>224</v>
      </c>
      <c r="AJ14" s="233" t="s">
        <v>233</v>
      </c>
      <c r="AK14" s="233" t="s">
        <v>240</v>
      </c>
      <c r="AL14" s="219" t="s">
        <v>812</v>
      </c>
      <c r="AM14" s="219" t="s">
        <v>859</v>
      </c>
      <c r="AN14" s="219" t="s">
        <v>683</v>
      </c>
      <c r="AO14" s="219" t="s">
        <v>840</v>
      </c>
      <c r="AP14" s="340" t="s">
        <v>343</v>
      </c>
      <c r="AQ14" s="219" t="s">
        <v>843</v>
      </c>
      <c r="AR14" s="219" t="s">
        <v>860</v>
      </c>
      <c r="AS14" s="219" t="s">
        <v>847</v>
      </c>
      <c r="AT14" s="219">
        <v>0</v>
      </c>
      <c r="AU14" s="219" t="s">
        <v>3</v>
      </c>
      <c r="AV14" s="219">
        <v>15</v>
      </c>
      <c r="BB14" s="219" t="s">
        <v>1284</v>
      </c>
      <c r="BC14" s="219">
        <v>2</v>
      </c>
      <c r="BG14" s="219" t="s">
        <v>287</v>
      </c>
      <c r="BH14" s="340">
        <v>200000</v>
      </c>
      <c r="BI14" s="340">
        <v>1000000</v>
      </c>
      <c r="BN14" s="219" t="s">
        <v>1061</v>
      </c>
    </row>
    <row r="15" spans="1:68" x14ac:dyDescent="0.2">
      <c r="C15" s="234" t="s">
        <v>51</v>
      </c>
      <c r="G15" s="219" t="s">
        <v>522</v>
      </c>
      <c r="H15" s="219" t="s">
        <v>534</v>
      </c>
      <c r="I15" s="392">
        <v>0.9</v>
      </c>
      <c r="N15" s="201" t="s">
        <v>574</v>
      </c>
      <c r="O15" s="203">
        <v>1211001</v>
      </c>
      <c r="U15" s="238" t="s">
        <v>705</v>
      </c>
      <c r="AB15" s="201" t="s">
        <v>755</v>
      </c>
      <c r="AC15" s="203"/>
      <c r="AD15" s="203" t="s">
        <v>165</v>
      </c>
      <c r="AH15" s="219" t="s">
        <v>826</v>
      </c>
      <c r="AI15" s="233" t="s">
        <v>225</v>
      </c>
      <c r="AJ15" s="233" t="s">
        <v>234</v>
      </c>
      <c r="AK15" s="233" t="s">
        <v>241</v>
      </c>
      <c r="AL15" s="233" t="s">
        <v>256</v>
      </c>
      <c r="AM15" s="219" t="s">
        <v>861</v>
      </c>
      <c r="AN15" s="219" t="s">
        <v>683</v>
      </c>
      <c r="AO15" s="219" t="s">
        <v>840</v>
      </c>
      <c r="AP15" s="340" t="s">
        <v>344</v>
      </c>
      <c r="AQ15" s="219" t="s">
        <v>843</v>
      </c>
      <c r="AR15" s="219" t="s">
        <v>862</v>
      </c>
      <c r="AS15" s="219" t="s">
        <v>847</v>
      </c>
      <c r="AT15" s="219">
        <v>0</v>
      </c>
      <c r="AU15" s="219" t="s">
        <v>3</v>
      </c>
      <c r="AV15" s="219">
        <v>210</v>
      </c>
      <c r="BB15" s="219" t="s">
        <v>1285</v>
      </c>
      <c r="BC15" s="219">
        <v>2.83</v>
      </c>
      <c r="BG15" s="219" t="s">
        <v>288</v>
      </c>
      <c r="BH15" s="340">
        <v>200000</v>
      </c>
      <c r="BI15" s="340">
        <v>1000000</v>
      </c>
      <c r="BN15" s="219" t="s">
        <v>1062</v>
      </c>
    </row>
    <row r="16" spans="1:68" x14ac:dyDescent="0.2">
      <c r="C16" s="235" t="s">
        <v>53</v>
      </c>
      <c r="G16" s="219" t="s">
        <v>523</v>
      </c>
      <c r="H16" s="219" t="s">
        <v>535</v>
      </c>
      <c r="I16" s="392">
        <v>0.9</v>
      </c>
      <c r="N16" s="201" t="s">
        <v>575</v>
      </c>
      <c r="O16" s="203">
        <v>1218100</v>
      </c>
      <c r="U16" s="238" t="s">
        <v>706</v>
      </c>
      <c r="AB16" s="201" t="s">
        <v>756</v>
      </c>
      <c r="AC16" s="203"/>
      <c r="AD16" s="203" t="s">
        <v>165</v>
      </c>
      <c r="AH16" s="219" t="s">
        <v>818</v>
      </c>
      <c r="AI16" s="233" t="s">
        <v>451</v>
      </c>
      <c r="AJ16" s="233" t="s">
        <v>235</v>
      </c>
      <c r="AK16" s="233" t="s">
        <v>458</v>
      </c>
      <c r="AL16" s="219" t="s">
        <v>814</v>
      </c>
      <c r="AM16" s="219" t="s">
        <v>863</v>
      </c>
      <c r="AN16" s="219" t="s">
        <v>683</v>
      </c>
      <c r="AO16" s="219" t="s">
        <v>840</v>
      </c>
      <c r="AP16" s="340" t="s">
        <v>345</v>
      </c>
      <c r="AQ16" s="219" t="s">
        <v>843</v>
      </c>
      <c r="AR16" s="219" t="s">
        <v>858</v>
      </c>
      <c r="AS16" s="219" t="s">
        <v>847</v>
      </c>
      <c r="AT16" s="219">
        <v>0</v>
      </c>
      <c r="AU16" s="219" t="s">
        <v>3</v>
      </c>
      <c r="AV16" s="219">
        <v>1</v>
      </c>
      <c r="BB16" s="219" t="s">
        <v>1286</v>
      </c>
      <c r="BC16" s="219">
        <v>3.46</v>
      </c>
      <c r="BG16" s="219" t="s">
        <v>289</v>
      </c>
      <c r="BH16" s="340">
        <v>200000</v>
      </c>
      <c r="BI16" s="340">
        <v>1000000</v>
      </c>
      <c r="BN16" s="219" t="s">
        <v>1063</v>
      </c>
    </row>
    <row r="17" spans="3:66" x14ac:dyDescent="0.2">
      <c r="C17" s="234" t="s">
        <v>52</v>
      </c>
      <c r="G17" s="219" t="s">
        <v>524</v>
      </c>
      <c r="H17" s="219" t="s">
        <v>536</v>
      </c>
      <c r="I17" s="392">
        <v>0.9</v>
      </c>
      <c r="N17" s="201" t="s">
        <v>576</v>
      </c>
      <c r="O17" s="203">
        <v>1218201</v>
      </c>
      <c r="U17" s="238" t="s">
        <v>707</v>
      </c>
      <c r="AB17" s="201" t="s">
        <v>1432</v>
      </c>
      <c r="AC17" s="203" t="s">
        <v>165</v>
      </c>
      <c r="AD17" s="203"/>
      <c r="AH17" s="233" t="s">
        <v>217</v>
      </c>
      <c r="AL17" s="219" t="s">
        <v>815</v>
      </c>
      <c r="AM17" s="233" t="s">
        <v>230</v>
      </c>
      <c r="AP17" s="340" t="s">
        <v>346</v>
      </c>
      <c r="BB17" s="219" t="s">
        <v>1287</v>
      </c>
      <c r="BC17" s="219">
        <v>4</v>
      </c>
      <c r="BG17" s="219" t="s">
        <v>290</v>
      </c>
      <c r="BH17" s="340">
        <v>200000</v>
      </c>
      <c r="BI17" s="340">
        <v>1000000</v>
      </c>
      <c r="BN17" s="219" t="s">
        <v>1064</v>
      </c>
    </row>
    <row r="18" spans="3:66" x14ac:dyDescent="0.2">
      <c r="C18" s="234" t="s">
        <v>56</v>
      </c>
      <c r="G18" s="219" t="s">
        <v>516</v>
      </c>
      <c r="H18" s="219" t="s">
        <v>537</v>
      </c>
      <c r="I18" s="392">
        <v>0.9</v>
      </c>
      <c r="N18" s="201" t="s">
        <v>577</v>
      </c>
      <c r="O18" s="203">
        <v>1219100</v>
      </c>
      <c r="U18" s="238" t="s">
        <v>708</v>
      </c>
      <c r="AB18" s="201" t="s">
        <v>757</v>
      </c>
      <c r="AC18" s="203" t="s">
        <v>167</v>
      </c>
      <c r="AD18" s="203"/>
      <c r="AH18" s="219" t="s">
        <v>1527</v>
      </c>
      <c r="AI18" s="233" t="s">
        <v>1528</v>
      </c>
      <c r="AJ18" s="233" t="s">
        <v>1439</v>
      </c>
      <c r="AK18" s="233" t="s">
        <v>1529</v>
      </c>
      <c r="AL18" s="233" t="s">
        <v>257</v>
      </c>
      <c r="AM18" s="219" t="s">
        <v>864</v>
      </c>
      <c r="AN18" s="219" t="s">
        <v>682</v>
      </c>
      <c r="AO18" s="219" t="s">
        <v>833</v>
      </c>
      <c r="AP18" s="340" t="s">
        <v>452</v>
      </c>
      <c r="AQ18" s="219" t="s">
        <v>843</v>
      </c>
      <c r="AR18" s="219" t="s">
        <v>872</v>
      </c>
      <c r="AS18" s="219" t="s">
        <v>836</v>
      </c>
      <c r="AT18" s="219" t="s">
        <v>193</v>
      </c>
      <c r="AU18" s="219">
        <v>2017</v>
      </c>
      <c r="AV18" s="219" t="s">
        <v>194</v>
      </c>
      <c r="BG18" s="219" t="s">
        <v>291</v>
      </c>
      <c r="BH18" s="340">
        <v>200000</v>
      </c>
      <c r="BI18" s="340">
        <v>1000000</v>
      </c>
      <c r="BN18" s="219" t="s">
        <v>1065</v>
      </c>
    </row>
    <row r="19" spans="3:66" x14ac:dyDescent="0.2">
      <c r="C19" s="234" t="s">
        <v>57</v>
      </c>
      <c r="H19" s="219" t="s">
        <v>538</v>
      </c>
      <c r="I19" s="392">
        <v>0.9</v>
      </c>
      <c r="N19" s="201" t="s">
        <v>578</v>
      </c>
      <c r="O19" s="203">
        <v>1219101</v>
      </c>
      <c r="U19" s="238" t="s">
        <v>709</v>
      </c>
      <c r="AB19" s="201" t="s">
        <v>758</v>
      </c>
      <c r="AC19" s="203"/>
      <c r="AD19" s="203" t="s">
        <v>167</v>
      </c>
      <c r="AH19" s="219" t="s">
        <v>1537</v>
      </c>
      <c r="AI19" s="233" t="s">
        <v>1530</v>
      </c>
      <c r="AJ19" s="233" t="s">
        <v>1448</v>
      </c>
      <c r="AK19" s="233" t="s">
        <v>1531</v>
      </c>
      <c r="AL19" s="219" t="s">
        <v>817</v>
      </c>
      <c r="AM19" s="219" t="s">
        <v>865</v>
      </c>
      <c r="AN19" s="219" t="s">
        <v>682</v>
      </c>
      <c r="AO19" s="219" t="s">
        <v>833</v>
      </c>
      <c r="AP19" s="340" t="s">
        <v>453</v>
      </c>
      <c r="AQ19" s="219" t="s">
        <v>834</v>
      </c>
      <c r="AR19" s="219" t="s">
        <v>873</v>
      </c>
      <c r="AS19" s="219" t="s">
        <v>836</v>
      </c>
      <c r="AT19" s="219" t="s">
        <v>195</v>
      </c>
      <c r="AU19" s="219">
        <v>2017</v>
      </c>
      <c r="AV19" s="219" t="s">
        <v>197</v>
      </c>
      <c r="BG19" s="219" t="s">
        <v>292</v>
      </c>
      <c r="BH19" s="340">
        <v>200000</v>
      </c>
      <c r="BI19" s="340">
        <v>1000000</v>
      </c>
      <c r="BN19" s="219" t="s">
        <v>1066</v>
      </c>
    </row>
    <row r="20" spans="3:66" x14ac:dyDescent="0.2">
      <c r="C20" s="234" t="s">
        <v>54</v>
      </c>
      <c r="H20" s="219" t="s">
        <v>539</v>
      </c>
      <c r="I20" s="392">
        <v>0.9</v>
      </c>
      <c r="N20" s="201" t="s">
        <v>579</v>
      </c>
      <c r="O20" s="203">
        <v>1219102</v>
      </c>
      <c r="U20" s="238" t="s">
        <v>710</v>
      </c>
      <c r="AB20" s="201" t="s">
        <v>759</v>
      </c>
      <c r="AC20" s="203" t="s">
        <v>165</v>
      </c>
      <c r="AD20" s="203"/>
      <c r="AH20" s="219" t="s">
        <v>1539</v>
      </c>
      <c r="AI20" s="233" t="s">
        <v>1532</v>
      </c>
      <c r="AJ20" s="233" t="s">
        <v>1460</v>
      </c>
      <c r="AK20" s="233" t="s">
        <v>1533</v>
      </c>
      <c r="AL20" s="233" t="s">
        <v>450</v>
      </c>
      <c r="AM20" s="219" t="s">
        <v>866</v>
      </c>
      <c r="AN20" s="219" t="s">
        <v>683</v>
      </c>
      <c r="AO20" s="219" t="s">
        <v>840</v>
      </c>
      <c r="AP20" s="340" t="s">
        <v>347</v>
      </c>
      <c r="AQ20" s="219" t="s">
        <v>843</v>
      </c>
      <c r="AR20" s="219" t="s">
        <v>874</v>
      </c>
      <c r="AS20" s="219" t="s">
        <v>847</v>
      </c>
      <c r="AT20" s="219">
        <v>0</v>
      </c>
      <c r="AU20" s="219" t="s">
        <v>3</v>
      </c>
      <c r="AV20" s="219">
        <v>200</v>
      </c>
      <c r="BG20" s="219" t="s">
        <v>293</v>
      </c>
      <c r="BH20" s="340">
        <v>200000</v>
      </c>
      <c r="BI20" s="340">
        <v>1000000</v>
      </c>
      <c r="BN20" s="219" t="s">
        <v>1067</v>
      </c>
    </row>
    <row r="21" spans="3:66" x14ac:dyDescent="0.2">
      <c r="C21" s="234" t="s">
        <v>55</v>
      </c>
      <c r="H21" s="219" t="s">
        <v>540</v>
      </c>
      <c r="I21" s="392">
        <v>0.9</v>
      </c>
      <c r="N21" s="201" t="s">
        <v>580</v>
      </c>
      <c r="O21" s="203">
        <v>1222000</v>
      </c>
      <c r="U21" s="238" t="s">
        <v>711</v>
      </c>
      <c r="AB21" s="233" t="s">
        <v>173</v>
      </c>
      <c r="AC21" s="202"/>
      <c r="AD21" s="202"/>
      <c r="AH21" s="219" t="s">
        <v>1540</v>
      </c>
      <c r="AI21" s="233" t="s">
        <v>1534</v>
      </c>
      <c r="AJ21" s="233" t="s">
        <v>1535</v>
      </c>
      <c r="AK21" s="233" t="s">
        <v>1536</v>
      </c>
      <c r="AL21" s="219" t="s">
        <v>819</v>
      </c>
      <c r="AM21" s="219" t="s">
        <v>867</v>
      </c>
      <c r="AN21" s="219" t="s">
        <v>683</v>
      </c>
      <c r="AO21" s="219" t="s">
        <v>840</v>
      </c>
      <c r="AP21" s="340" t="s">
        <v>348</v>
      </c>
      <c r="AQ21" s="219" t="s">
        <v>843</v>
      </c>
      <c r="AR21" s="219" t="s">
        <v>875</v>
      </c>
      <c r="AS21" s="219" t="s">
        <v>847</v>
      </c>
      <c r="AT21" s="219">
        <v>0</v>
      </c>
      <c r="AU21" s="219" t="s">
        <v>3</v>
      </c>
      <c r="AV21" s="219">
        <v>20</v>
      </c>
      <c r="BG21" s="219" t="s">
        <v>294</v>
      </c>
      <c r="BH21" s="340">
        <v>200000</v>
      </c>
      <c r="BI21" s="340">
        <v>1000000</v>
      </c>
      <c r="BN21" s="219" t="s">
        <v>1068</v>
      </c>
    </row>
    <row r="22" spans="3:66" x14ac:dyDescent="0.2">
      <c r="C22" s="234" t="s">
        <v>58</v>
      </c>
      <c r="H22" s="219" t="s">
        <v>541</v>
      </c>
      <c r="I22" s="392">
        <v>0.9</v>
      </c>
      <c r="N22" s="201" t="s">
        <v>581</v>
      </c>
      <c r="O22" s="203">
        <v>1223000</v>
      </c>
      <c r="U22" s="238" t="s">
        <v>37</v>
      </c>
      <c r="AB22" s="201" t="s">
        <v>760</v>
      </c>
      <c r="AC22" s="203" t="s">
        <v>165</v>
      </c>
      <c r="AD22" s="203"/>
      <c r="AL22" s="233" t="s">
        <v>222</v>
      </c>
      <c r="AM22" s="219" t="s">
        <v>848</v>
      </c>
      <c r="AN22" s="219" t="s">
        <v>683</v>
      </c>
      <c r="AO22" s="219" t="s">
        <v>840</v>
      </c>
      <c r="AP22" s="340" t="s">
        <v>349</v>
      </c>
      <c r="AQ22" s="219" t="s">
        <v>843</v>
      </c>
      <c r="AR22" s="219" t="s">
        <v>876</v>
      </c>
      <c r="AS22" s="219" t="s">
        <v>847</v>
      </c>
      <c r="AT22" s="219">
        <v>0</v>
      </c>
      <c r="AU22" s="219" t="s">
        <v>3</v>
      </c>
      <c r="AV22" s="219">
        <v>15</v>
      </c>
      <c r="BG22" s="219" t="s">
        <v>295</v>
      </c>
      <c r="BH22" s="340">
        <v>200000</v>
      </c>
      <c r="BI22" s="340">
        <v>1000000</v>
      </c>
      <c r="BN22" s="233" t="s">
        <v>325</v>
      </c>
    </row>
    <row r="23" spans="3:66" x14ac:dyDescent="0.2">
      <c r="C23" s="234" t="s">
        <v>59</v>
      </c>
      <c r="H23" s="219" t="s">
        <v>542</v>
      </c>
      <c r="I23" s="392">
        <v>0.9</v>
      </c>
      <c r="N23" s="201" t="s">
        <v>582</v>
      </c>
      <c r="O23" s="203">
        <v>1225000</v>
      </c>
      <c r="U23" s="238" t="s">
        <v>712</v>
      </c>
      <c r="AB23" s="201" t="s">
        <v>761</v>
      </c>
      <c r="AC23" s="203"/>
      <c r="AD23" s="203" t="s">
        <v>165</v>
      </c>
      <c r="AL23" s="219" t="s">
        <v>821</v>
      </c>
      <c r="AM23" s="219" t="s">
        <v>868</v>
      </c>
      <c r="AN23" s="219" t="s">
        <v>683</v>
      </c>
      <c r="AO23" s="219" t="s">
        <v>840</v>
      </c>
      <c r="AP23" s="340" t="s">
        <v>350</v>
      </c>
      <c r="AQ23" s="219" t="s">
        <v>843</v>
      </c>
      <c r="AR23" s="219" t="s">
        <v>874</v>
      </c>
      <c r="AS23" s="219" t="s">
        <v>847</v>
      </c>
      <c r="AT23" s="219">
        <v>0</v>
      </c>
      <c r="AU23" s="219" t="s">
        <v>3</v>
      </c>
      <c r="AV23" s="219">
        <v>10</v>
      </c>
      <c r="AZ23" s="219">
        <f>VLOOKUP("Takmer istá_Minimálny",risk_score_table,2,FALSE)</f>
        <v>2</v>
      </c>
      <c r="BG23" s="219" t="s">
        <v>296</v>
      </c>
      <c r="BH23" s="340">
        <v>200000</v>
      </c>
      <c r="BI23" s="340">
        <v>1000000</v>
      </c>
      <c r="BN23" s="219" t="s">
        <v>1069</v>
      </c>
    </row>
    <row r="24" spans="3:66" x14ac:dyDescent="0.2">
      <c r="C24" s="234" t="s">
        <v>60</v>
      </c>
      <c r="H24" s="233" t="s">
        <v>133</v>
      </c>
      <c r="I24" s="233"/>
      <c r="N24" s="201" t="s">
        <v>583</v>
      </c>
      <c r="O24" s="203">
        <v>1226100</v>
      </c>
      <c r="U24" s="238" t="s">
        <v>713</v>
      </c>
      <c r="AB24" s="201" t="s">
        <v>762</v>
      </c>
      <c r="AC24" s="203"/>
      <c r="AD24" s="203" t="s">
        <v>165</v>
      </c>
      <c r="AL24" s="233" t="s">
        <v>224</v>
      </c>
      <c r="AM24" s="219" t="s">
        <v>869</v>
      </c>
      <c r="AN24" s="219" t="s">
        <v>683</v>
      </c>
      <c r="AO24" s="219" t="s">
        <v>840</v>
      </c>
      <c r="AP24" s="340" t="s">
        <v>351</v>
      </c>
      <c r="AQ24" s="219" t="s">
        <v>843</v>
      </c>
      <c r="AR24" s="219" t="s">
        <v>877</v>
      </c>
      <c r="AS24" s="219" t="s">
        <v>847</v>
      </c>
      <c r="AT24" s="219">
        <v>0</v>
      </c>
      <c r="AU24" s="219" t="s">
        <v>3</v>
      </c>
      <c r="AV24" s="219">
        <v>15</v>
      </c>
      <c r="BG24" s="219" t="s">
        <v>297</v>
      </c>
      <c r="BH24" s="340">
        <v>200000</v>
      </c>
      <c r="BI24" s="340">
        <v>1000000</v>
      </c>
      <c r="BN24" s="219" t="s">
        <v>1070</v>
      </c>
    </row>
    <row r="25" spans="3:66" x14ac:dyDescent="0.2">
      <c r="C25" s="235" t="s">
        <v>62</v>
      </c>
      <c r="H25" s="219" t="s">
        <v>543</v>
      </c>
      <c r="I25" s="392">
        <v>0.85</v>
      </c>
      <c r="N25" s="201" t="s">
        <v>584</v>
      </c>
      <c r="O25" s="203">
        <v>1226101</v>
      </c>
      <c r="U25" s="238" t="s">
        <v>714</v>
      </c>
      <c r="AB25" s="201" t="s">
        <v>763</v>
      </c>
      <c r="AC25" s="203"/>
      <c r="AD25" s="203" t="s">
        <v>165</v>
      </c>
      <c r="AL25" s="219" t="s">
        <v>823</v>
      </c>
      <c r="AM25" s="219" t="s">
        <v>870</v>
      </c>
      <c r="AN25" s="219" t="s">
        <v>683</v>
      </c>
      <c r="AO25" s="219" t="s">
        <v>840</v>
      </c>
      <c r="AP25" s="340" t="s">
        <v>352</v>
      </c>
      <c r="AQ25" s="219" t="s">
        <v>843</v>
      </c>
      <c r="AR25" s="219" t="s">
        <v>877</v>
      </c>
      <c r="AS25" s="219" t="s">
        <v>847</v>
      </c>
      <c r="AT25" s="219">
        <v>0</v>
      </c>
      <c r="AU25" s="219" t="s">
        <v>3</v>
      </c>
      <c r="AV25" s="219">
        <v>15</v>
      </c>
      <c r="BG25" s="219" t="s">
        <v>298</v>
      </c>
      <c r="BH25" s="340">
        <v>200000</v>
      </c>
      <c r="BI25" s="340">
        <v>1000000</v>
      </c>
      <c r="BN25" s="219" t="s">
        <v>1071</v>
      </c>
    </row>
    <row r="26" spans="3:66" x14ac:dyDescent="0.2">
      <c r="C26" s="234" t="s">
        <v>61</v>
      </c>
      <c r="H26" s="219" t="s">
        <v>544</v>
      </c>
      <c r="I26" s="392">
        <v>0.85</v>
      </c>
      <c r="N26" s="201" t="s">
        <v>585</v>
      </c>
      <c r="O26" s="203">
        <v>1226300</v>
      </c>
      <c r="U26" s="238" t="s">
        <v>715</v>
      </c>
      <c r="AB26" s="201" t="s">
        <v>764</v>
      </c>
      <c r="AC26" s="203"/>
      <c r="AD26" s="203" t="s">
        <v>165</v>
      </c>
      <c r="AL26" s="219" t="s">
        <v>824</v>
      </c>
      <c r="AM26" s="219" t="s">
        <v>871</v>
      </c>
      <c r="AN26" s="219" t="s">
        <v>683</v>
      </c>
      <c r="AO26" s="219" t="s">
        <v>840</v>
      </c>
      <c r="AP26" s="340" t="s">
        <v>353</v>
      </c>
      <c r="AQ26" s="219" t="s">
        <v>843</v>
      </c>
      <c r="AR26" s="219" t="s">
        <v>878</v>
      </c>
      <c r="AS26" s="219" t="s">
        <v>847</v>
      </c>
      <c r="AT26" s="219">
        <v>0</v>
      </c>
      <c r="AU26" s="219" t="s">
        <v>3</v>
      </c>
      <c r="AV26" s="219">
        <v>30</v>
      </c>
      <c r="BG26" s="219" t="s">
        <v>299</v>
      </c>
      <c r="BH26" s="340">
        <v>200000</v>
      </c>
      <c r="BI26" s="340">
        <v>1000000</v>
      </c>
      <c r="BN26" s="219" t="s">
        <v>1072</v>
      </c>
    </row>
    <row r="27" spans="3:66" ht="12.75" customHeight="1" x14ac:dyDescent="0.2">
      <c r="C27" s="234" t="s">
        <v>63</v>
      </c>
      <c r="H27" s="219" t="s">
        <v>545</v>
      </c>
      <c r="I27" s="392">
        <v>0.85</v>
      </c>
      <c r="N27" s="201" t="s">
        <v>586</v>
      </c>
      <c r="O27" s="203">
        <v>1228100</v>
      </c>
      <c r="U27" s="238" t="s">
        <v>716</v>
      </c>
      <c r="AB27" s="233" t="s">
        <v>174</v>
      </c>
      <c r="AC27" s="202"/>
      <c r="AD27" s="202"/>
      <c r="AL27" s="219" t="s">
        <v>825</v>
      </c>
      <c r="AM27" s="233" t="s">
        <v>460</v>
      </c>
      <c r="AP27" s="340" t="s">
        <v>346</v>
      </c>
      <c r="BG27" s="219" t="s">
        <v>300</v>
      </c>
      <c r="BH27" s="340">
        <v>200000</v>
      </c>
      <c r="BI27" s="340">
        <v>1000000</v>
      </c>
      <c r="BN27" s="219" t="s">
        <v>1073</v>
      </c>
    </row>
    <row r="28" spans="3:66" x14ac:dyDescent="0.2">
      <c r="C28" s="234" t="s">
        <v>65</v>
      </c>
      <c r="H28" s="219" t="s">
        <v>546</v>
      </c>
      <c r="I28" s="392">
        <v>0.85</v>
      </c>
      <c r="N28" s="201" t="s">
        <v>587</v>
      </c>
      <c r="O28" s="203">
        <v>1302000</v>
      </c>
      <c r="U28" s="238" t="s">
        <v>717</v>
      </c>
      <c r="AB28" s="201" t="s">
        <v>765</v>
      </c>
      <c r="AC28" s="203" t="s">
        <v>165</v>
      </c>
      <c r="AD28" s="203"/>
      <c r="AL28" s="233" t="s">
        <v>225</v>
      </c>
      <c r="AM28" s="219" t="s">
        <v>879</v>
      </c>
      <c r="AN28" s="219" t="s">
        <v>682</v>
      </c>
      <c r="AO28" s="219" t="s">
        <v>833</v>
      </c>
      <c r="AP28" s="340" t="s">
        <v>454</v>
      </c>
      <c r="AQ28" s="219" t="s">
        <v>885</v>
      </c>
      <c r="AR28" s="219" t="s">
        <v>886</v>
      </c>
      <c r="AS28" s="219" t="s">
        <v>836</v>
      </c>
      <c r="AT28" s="219" t="s">
        <v>190</v>
      </c>
      <c r="AU28" s="219" t="s">
        <v>190</v>
      </c>
      <c r="AV28" s="219" t="s">
        <v>889</v>
      </c>
      <c r="BG28" s="219" t="s">
        <v>301</v>
      </c>
      <c r="BH28" s="340">
        <v>200000</v>
      </c>
      <c r="BI28" s="340">
        <v>1000000</v>
      </c>
      <c r="BN28" s="233" t="s">
        <v>326</v>
      </c>
    </row>
    <row r="29" spans="3:66" x14ac:dyDescent="0.2">
      <c r="C29" s="234" t="s">
        <v>65</v>
      </c>
      <c r="H29" s="219" t="s">
        <v>547</v>
      </c>
      <c r="I29" s="392">
        <v>0.85</v>
      </c>
      <c r="N29" s="201" t="s">
        <v>588</v>
      </c>
      <c r="O29" s="203">
        <v>1304000</v>
      </c>
      <c r="U29" s="238" t="s">
        <v>718</v>
      </c>
      <c r="AB29" s="201" t="s">
        <v>602</v>
      </c>
      <c r="AC29" s="203" t="s">
        <v>165</v>
      </c>
      <c r="AD29" s="203"/>
      <c r="AL29" s="219" t="s">
        <v>827</v>
      </c>
      <c r="AM29" s="219" t="s">
        <v>880</v>
      </c>
      <c r="AN29" s="219" t="s">
        <v>682</v>
      </c>
      <c r="AO29" s="219" t="s">
        <v>833</v>
      </c>
      <c r="AP29" s="340" t="s">
        <v>462</v>
      </c>
      <c r="AQ29" s="219" t="s">
        <v>885</v>
      </c>
      <c r="AR29" s="219" t="s">
        <v>886</v>
      </c>
      <c r="AS29" s="219" t="s">
        <v>836</v>
      </c>
      <c r="AT29" s="219" t="s">
        <v>190</v>
      </c>
      <c r="AU29" s="219" t="s">
        <v>190</v>
      </c>
      <c r="AV29" s="219" t="s">
        <v>889</v>
      </c>
      <c r="BG29" s="219" t="s">
        <v>302</v>
      </c>
      <c r="BH29" s="340">
        <v>200000</v>
      </c>
      <c r="BI29" s="340">
        <v>1000000</v>
      </c>
      <c r="BN29" s="219" t="s">
        <v>1074</v>
      </c>
    </row>
    <row r="30" spans="3:66" ht="15" customHeight="1" x14ac:dyDescent="0.2">
      <c r="C30" s="234" t="s">
        <v>66</v>
      </c>
      <c r="H30" s="219" t="s">
        <v>548</v>
      </c>
      <c r="I30" s="392">
        <v>0.85</v>
      </c>
      <c r="N30" s="200" t="s">
        <v>125</v>
      </c>
      <c r="U30" s="238" t="s">
        <v>719</v>
      </c>
      <c r="AB30" s="201" t="s">
        <v>766</v>
      </c>
      <c r="AC30" s="203" t="s">
        <v>165</v>
      </c>
      <c r="AD30" s="203"/>
      <c r="AL30" s="219" t="s">
        <v>828</v>
      </c>
      <c r="AM30" s="219" t="s">
        <v>881</v>
      </c>
      <c r="AN30" s="219" t="s">
        <v>682</v>
      </c>
      <c r="AO30" s="219" t="s">
        <v>840</v>
      </c>
      <c r="AP30" s="340" t="s">
        <v>455</v>
      </c>
      <c r="AQ30" s="219" t="s">
        <v>887</v>
      </c>
      <c r="AR30" s="219" t="s">
        <v>886</v>
      </c>
      <c r="AS30" s="219" t="s">
        <v>836</v>
      </c>
      <c r="AT30" s="219" t="s">
        <v>3</v>
      </c>
      <c r="AU30" s="219" t="s">
        <v>3</v>
      </c>
      <c r="AV30" s="219" t="s">
        <v>196</v>
      </c>
      <c r="BG30" s="219" t="s">
        <v>303</v>
      </c>
      <c r="BH30" s="340">
        <v>200000</v>
      </c>
      <c r="BI30" s="340">
        <v>1000000</v>
      </c>
      <c r="BN30" s="219" t="s">
        <v>1075</v>
      </c>
    </row>
    <row r="31" spans="3:66" ht="12.75" customHeight="1" x14ac:dyDescent="0.2">
      <c r="C31" s="234" t="s">
        <v>64</v>
      </c>
      <c r="H31" s="219" t="s">
        <v>549</v>
      </c>
      <c r="I31" s="392">
        <v>0.85</v>
      </c>
      <c r="N31" s="201" t="s">
        <v>589</v>
      </c>
      <c r="O31" s="203">
        <v>1511000</v>
      </c>
      <c r="U31" s="238" t="s">
        <v>720</v>
      </c>
      <c r="AB31" s="201" t="s">
        <v>767</v>
      </c>
      <c r="AC31" s="203" t="s">
        <v>165</v>
      </c>
      <c r="AD31" s="203"/>
      <c r="AL31" s="219" t="s">
        <v>829</v>
      </c>
      <c r="AM31" s="219" t="s">
        <v>882</v>
      </c>
      <c r="AN31" s="219" t="s">
        <v>683</v>
      </c>
      <c r="AO31" s="219" t="s">
        <v>840</v>
      </c>
      <c r="AP31" s="340" t="s">
        <v>354</v>
      </c>
      <c r="AQ31" s="219" t="s">
        <v>843</v>
      </c>
      <c r="AR31" s="219" t="s">
        <v>874</v>
      </c>
      <c r="AS31" s="219" t="s">
        <v>847</v>
      </c>
      <c r="AT31" s="219">
        <v>0</v>
      </c>
      <c r="AU31" s="219" t="s">
        <v>3</v>
      </c>
      <c r="AV31" s="219">
        <v>10</v>
      </c>
      <c r="BG31" s="219" t="s">
        <v>304</v>
      </c>
      <c r="BH31" s="340">
        <v>200000</v>
      </c>
      <c r="BI31" s="340">
        <v>1000000</v>
      </c>
      <c r="BN31" s="219" t="s">
        <v>1076</v>
      </c>
    </row>
    <row r="32" spans="3:66" x14ac:dyDescent="0.2">
      <c r="C32" s="234" t="s">
        <v>67</v>
      </c>
      <c r="N32" s="201" t="s">
        <v>590</v>
      </c>
      <c r="O32" s="203">
        <v>1511002</v>
      </c>
      <c r="U32" s="238" t="s">
        <v>721</v>
      </c>
      <c r="AB32" s="201" t="s">
        <v>768</v>
      </c>
      <c r="AC32" s="203" t="s">
        <v>165</v>
      </c>
      <c r="AD32" s="203"/>
      <c r="AL32" s="219" t="s">
        <v>830</v>
      </c>
      <c r="AM32" s="219" t="s">
        <v>883</v>
      </c>
      <c r="AN32" s="219" t="s">
        <v>683</v>
      </c>
      <c r="AO32" s="219" t="s">
        <v>840</v>
      </c>
      <c r="AP32" s="340" t="s">
        <v>355</v>
      </c>
      <c r="AQ32" s="219" t="s">
        <v>843</v>
      </c>
      <c r="AR32" s="219" t="s">
        <v>874</v>
      </c>
      <c r="AS32" s="219" t="s">
        <v>847</v>
      </c>
      <c r="AT32" s="219">
        <v>0</v>
      </c>
      <c r="AU32" s="219" t="s">
        <v>3</v>
      </c>
      <c r="AV32" s="219">
        <v>25</v>
      </c>
      <c r="BG32" s="219" t="s">
        <v>305</v>
      </c>
      <c r="BH32" s="340">
        <v>200000</v>
      </c>
      <c r="BI32" s="340">
        <v>1000000</v>
      </c>
      <c r="BN32" s="219" t="s">
        <v>1077</v>
      </c>
    </row>
    <row r="33" spans="3:66" x14ac:dyDescent="0.2">
      <c r="C33" s="234" t="s">
        <v>68</v>
      </c>
      <c r="N33" s="201" t="s">
        <v>591</v>
      </c>
      <c r="O33" s="203">
        <v>1511200</v>
      </c>
      <c r="U33" s="238" t="s">
        <v>722</v>
      </c>
      <c r="AB33" s="201" t="s">
        <v>769</v>
      </c>
      <c r="AC33" s="203"/>
      <c r="AD33" s="203" t="s">
        <v>165</v>
      </c>
      <c r="AL33" s="233" t="s">
        <v>451</v>
      </c>
      <c r="AM33" s="219" t="s">
        <v>884</v>
      </c>
      <c r="AN33" s="219" t="s">
        <v>683</v>
      </c>
      <c r="AO33" s="219" t="s">
        <v>840</v>
      </c>
      <c r="AP33" s="340" t="s">
        <v>356</v>
      </c>
      <c r="AQ33" s="219" t="s">
        <v>843</v>
      </c>
      <c r="AR33" s="219" t="s">
        <v>888</v>
      </c>
      <c r="AS33" s="219" t="s">
        <v>847</v>
      </c>
      <c r="AT33" s="219">
        <v>0</v>
      </c>
      <c r="AU33" s="219" t="s">
        <v>3</v>
      </c>
      <c r="AV33" s="219">
        <v>30</v>
      </c>
      <c r="BG33" s="219" t="s">
        <v>306</v>
      </c>
      <c r="BH33" s="340">
        <v>200000</v>
      </c>
      <c r="BI33" s="340">
        <v>1000000</v>
      </c>
      <c r="BN33" s="219" t="s">
        <v>1078</v>
      </c>
    </row>
    <row r="34" spans="3:66" x14ac:dyDescent="0.2">
      <c r="C34" s="234" t="s">
        <v>69</v>
      </c>
      <c r="N34" s="201" t="s">
        <v>592</v>
      </c>
      <c r="O34" s="203">
        <v>1511300</v>
      </c>
      <c r="U34" s="238" t="s">
        <v>553</v>
      </c>
      <c r="AB34" s="201" t="s">
        <v>770</v>
      </c>
      <c r="AC34" s="203"/>
      <c r="AD34" s="203" t="s">
        <v>165</v>
      </c>
      <c r="AL34" s="219" t="s">
        <v>831</v>
      </c>
      <c r="AM34" s="233" t="s">
        <v>258</v>
      </c>
      <c r="AP34" s="340" t="s">
        <v>346</v>
      </c>
      <c r="BG34" s="219" t="s">
        <v>307</v>
      </c>
      <c r="BH34" s="340">
        <v>200000</v>
      </c>
      <c r="BI34" s="340">
        <v>1000000</v>
      </c>
      <c r="BN34" s="233" t="s">
        <v>327</v>
      </c>
    </row>
    <row r="35" spans="3:66" x14ac:dyDescent="0.2">
      <c r="C35" s="234" t="s">
        <v>70</v>
      </c>
      <c r="N35" s="201" t="s">
        <v>593</v>
      </c>
      <c r="O35" s="203">
        <v>1513000</v>
      </c>
      <c r="AB35" s="201" t="s">
        <v>771</v>
      </c>
      <c r="AC35" s="203"/>
      <c r="AD35" s="203" t="s">
        <v>165</v>
      </c>
      <c r="AL35" s="233" t="s">
        <v>1528</v>
      </c>
      <c r="AM35" s="219" t="s">
        <v>890</v>
      </c>
      <c r="AN35" s="219" t="s">
        <v>682</v>
      </c>
      <c r="AO35" s="219" t="s">
        <v>833</v>
      </c>
      <c r="AP35" s="340" t="s">
        <v>357</v>
      </c>
      <c r="AQ35" s="219" t="s">
        <v>843</v>
      </c>
      <c r="AR35" s="219" t="s">
        <v>898</v>
      </c>
      <c r="AS35" s="219" t="s">
        <v>836</v>
      </c>
      <c r="AT35" s="219" t="s">
        <v>210</v>
      </c>
      <c r="AU35" s="219">
        <v>2016</v>
      </c>
      <c r="AV35" s="219">
        <v>65</v>
      </c>
      <c r="BG35" s="219" t="s">
        <v>308</v>
      </c>
      <c r="BH35" s="340">
        <v>200000</v>
      </c>
      <c r="BI35" s="340">
        <v>1000000</v>
      </c>
      <c r="BN35" s="219" t="s">
        <v>1079</v>
      </c>
    </row>
    <row r="36" spans="3:66" x14ac:dyDescent="0.2">
      <c r="C36" s="234" t="s">
        <v>71</v>
      </c>
      <c r="N36" s="201" t="s">
        <v>594</v>
      </c>
      <c r="O36" s="203">
        <v>1513001</v>
      </c>
      <c r="AB36" s="201" t="s">
        <v>772</v>
      </c>
      <c r="AC36" s="203"/>
      <c r="AD36" s="203" t="s">
        <v>165</v>
      </c>
      <c r="AL36" s="219" t="s">
        <v>1541</v>
      </c>
      <c r="AM36" s="219" t="s">
        <v>891</v>
      </c>
      <c r="AN36" s="219" t="s">
        <v>682</v>
      </c>
      <c r="AO36" s="219" t="s">
        <v>833</v>
      </c>
      <c r="AP36" s="340" t="s">
        <v>358</v>
      </c>
      <c r="AQ36" s="219" t="s">
        <v>843</v>
      </c>
      <c r="AR36" s="219" t="s">
        <v>211</v>
      </c>
      <c r="AS36" s="219" t="s">
        <v>836</v>
      </c>
      <c r="AT36" s="219">
        <v>54</v>
      </c>
      <c r="AU36" s="219">
        <v>2016</v>
      </c>
      <c r="AV36" s="219">
        <v>49</v>
      </c>
      <c r="BG36" s="219" t="s">
        <v>309</v>
      </c>
      <c r="BH36" s="340">
        <v>200000</v>
      </c>
      <c r="BI36" s="340">
        <v>1000000</v>
      </c>
      <c r="BN36" s="219" t="s">
        <v>1080</v>
      </c>
    </row>
    <row r="37" spans="3:66" x14ac:dyDescent="0.2">
      <c r="C37" s="235" t="s">
        <v>73</v>
      </c>
      <c r="N37" s="201" t="s">
        <v>595</v>
      </c>
      <c r="O37" s="203">
        <v>1513003</v>
      </c>
      <c r="AB37" s="201" t="s">
        <v>773</v>
      </c>
      <c r="AC37" s="203"/>
      <c r="AD37" s="203" t="s">
        <v>165</v>
      </c>
      <c r="AL37" s="233" t="s">
        <v>1530</v>
      </c>
      <c r="AM37" s="219" t="s">
        <v>892</v>
      </c>
      <c r="AN37" s="219" t="s">
        <v>682</v>
      </c>
      <c r="AO37" s="219" t="s">
        <v>833</v>
      </c>
      <c r="AP37" s="340" t="s">
        <v>359</v>
      </c>
      <c r="AQ37" s="219" t="s">
        <v>843</v>
      </c>
      <c r="AR37" s="219" t="s">
        <v>899</v>
      </c>
      <c r="AS37" s="219" t="s">
        <v>836</v>
      </c>
      <c r="AT37" s="219">
        <v>367</v>
      </c>
      <c r="AU37" s="219">
        <v>2016</v>
      </c>
      <c r="AV37" s="219">
        <v>500</v>
      </c>
      <c r="BG37" s="219" t="s">
        <v>310</v>
      </c>
      <c r="BH37" s="340">
        <v>200000</v>
      </c>
      <c r="BI37" s="340">
        <v>1000000</v>
      </c>
      <c r="BN37" s="219" t="s">
        <v>1081</v>
      </c>
    </row>
    <row r="38" spans="3:66" x14ac:dyDescent="0.2">
      <c r="C38" s="234" t="s">
        <v>72</v>
      </c>
      <c r="N38" s="201" t="s">
        <v>596</v>
      </c>
      <c r="O38" s="203">
        <v>1513004</v>
      </c>
      <c r="AB38" s="233" t="s">
        <v>175</v>
      </c>
      <c r="AC38" s="202"/>
      <c r="AD38" s="202"/>
      <c r="AL38" s="219" t="s">
        <v>1542</v>
      </c>
      <c r="AM38" s="219" t="s">
        <v>893</v>
      </c>
      <c r="AN38" s="219" t="s">
        <v>683</v>
      </c>
      <c r="AO38" s="219" t="s">
        <v>840</v>
      </c>
      <c r="AP38" s="340" t="s">
        <v>360</v>
      </c>
      <c r="AQ38" s="219" t="s">
        <v>843</v>
      </c>
      <c r="AR38" s="219" t="s">
        <v>900</v>
      </c>
      <c r="AS38" s="219" t="s">
        <v>847</v>
      </c>
      <c r="AT38" s="219">
        <v>0</v>
      </c>
      <c r="AU38" s="219" t="s">
        <v>3</v>
      </c>
      <c r="AV38" s="219">
        <v>3</v>
      </c>
      <c r="BG38" s="219" t="s">
        <v>311</v>
      </c>
      <c r="BH38" s="340">
        <v>200000</v>
      </c>
      <c r="BI38" s="340">
        <v>1000000</v>
      </c>
      <c r="BN38" s="219" t="s">
        <v>1082</v>
      </c>
    </row>
    <row r="39" spans="3:66" x14ac:dyDescent="0.2">
      <c r="C39" s="234" t="s">
        <v>74</v>
      </c>
      <c r="N39" s="201" t="s">
        <v>597</v>
      </c>
      <c r="O39" s="203">
        <v>1513005</v>
      </c>
      <c r="AB39" s="201" t="s">
        <v>774</v>
      </c>
      <c r="AC39" s="203" t="s">
        <v>165</v>
      </c>
      <c r="AD39" s="203"/>
      <c r="AL39" s="219" t="s">
        <v>1538</v>
      </c>
      <c r="AM39" s="219" t="s">
        <v>894</v>
      </c>
      <c r="AN39" s="219" t="s">
        <v>683</v>
      </c>
      <c r="AO39" s="219" t="s">
        <v>840</v>
      </c>
      <c r="AP39" s="340" t="s">
        <v>361</v>
      </c>
      <c r="AQ39" s="219" t="s">
        <v>843</v>
      </c>
      <c r="AR39" s="219" t="s">
        <v>901</v>
      </c>
      <c r="AS39" s="219" t="s">
        <v>847</v>
      </c>
      <c r="AT39" s="219">
        <v>0</v>
      </c>
      <c r="AU39" s="219" t="s">
        <v>3</v>
      </c>
      <c r="AV39" s="219">
        <v>5</v>
      </c>
      <c r="BG39" s="219" t="s">
        <v>312</v>
      </c>
      <c r="BH39" s="340">
        <v>200000</v>
      </c>
      <c r="BI39" s="340">
        <v>1000000</v>
      </c>
      <c r="BN39" s="219" t="s">
        <v>1083</v>
      </c>
    </row>
    <row r="40" spans="3:66" x14ac:dyDescent="0.2">
      <c r="C40" s="234" t="s">
        <v>75</v>
      </c>
      <c r="N40" s="201" t="s">
        <v>598</v>
      </c>
      <c r="O40" s="203">
        <v>1513006</v>
      </c>
      <c r="AB40" s="201" t="s">
        <v>775</v>
      </c>
      <c r="AC40" s="203"/>
      <c r="AD40" s="203" t="s">
        <v>165</v>
      </c>
      <c r="AL40" s="233" t="s">
        <v>1532</v>
      </c>
      <c r="AM40" s="219" t="s">
        <v>895</v>
      </c>
      <c r="AN40" s="219" t="s">
        <v>683</v>
      </c>
      <c r="AO40" s="219" t="s">
        <v>840</v>
      </c>
      <c r="AP40" s="340" t="s">
        <v>362</v>
      </c>
      <c r="AQ40" s="219" t="s">
        <v>843</v>
      </c>
      <c r="AR40" s="219" t="s">
        <v>902</v>
      </c>
      <c r="AS40" s="219" t="s">
        <v>847</v>
      </c>
      <c r="AT40" s="219">
        <v>0</v>
      </c>
      <c r="AU40" s="219" t="s">
        <v>3</v>
      </c>
      <c r="AV40" s="219">
        <v>350</v>
      </c>
      <c r="BG40" s="219" t="s">
        <v>313</v>
      </c>
      <c r="BH40" s="340">
        <v>200000</v>
      </c>
      <c r="BI40" s="340">
        <v>1000000</v>
      </c>
      <c r="BN40" s="219" t="s">
        <v>1084</v>
      </c>
    </row>
    <row r="41" spans="3:66" x14ac:dyDescent="0.2">
      <c r="C41" s="234" t="s">
        <v>76</v>
      </c>
      <c r="N41" s="201" t="s">
        <v>599</v>
      </c>
      <c r="O41" s="203">
        <v>1513007</v>
      </c>
      <c r="AB41" s="201" t="s">
        <v>776</v>
      </c>
      <c r="AC41" s="203"/>
      <c r="AD41" s="203" t="s">
        <v>165</v>
      </c>
      <c r="AL41" s="219" t="s">
        <v>1543</v>
      </c>
      <c r="AM41" s="219" t="s">
        <v>896</v>
      </c>
      <c r="AN41" s="219" t="s">
        <v>683</v>
      </c>
      <c r="AO41" s="219" t="s">
        <v>840</v>
      </c>
      <c r="AP41" s="340" t="s">
        <v>363</v>
      </c>
      <c r="AQ41" s="219" t="s">
        <v>903</v>
      </c>
      <c r="AR41" s="219" t="s">
        <v>904</v>
      </c>
      <c r="AS41" s="219" t="s">
        <v>847</v>
      </c>
      <c r="AT41" s="219" t="s">
        <v>724</v>
      </c>
      <c r="AU41" s="219" t="s">
        <v>3</v>
      </c>
      <c r="AV41" s="219" t="s">
        <v>723</v>
      </c>
      <c r="BG41" s="219" t="s">
        <v>314</v>
      </c>
      <c r="BH41" s="340">
        <v>200000</v>
      </c>
      <c r="BI41" s="340">
        <v>1000000</v>
      </c>
      <c r="BN41" s="219" t="s">
        <v>1085</v>
      </c>
    </row>
    <row r="42" spans="3:66" x14ac:dyDescent="0.2">
      <c r="C42" s="234" t="s">
        <v>81</v>
      </c>
      <c r="N42" s="201" t="s">
        <v>600</v>
      </c>
      <c r="O42" s="203">
        <v>1513008</v>
      </c>
      <c r="AB42" s="233" t="s">
        <v>176</v>
      </c>
      <c r="AC42" s="202"/>
      <c r="AD42" s="202"/>
      <c r="AL42" s="233" t="s">
        <v>1534</v>
      </c>
      <c r="AM42" s="219" t="s">
        <v>897</v>
      </c>
      <c r="AN42" s="219" t="s">
        <v>683</v>
      </c>
      <c r="AO42" s="219" t="s">
        <v>840</v>
      </c>
      <c r="AP42" s="340" t="s">
        <v>364</v>
      </c>
      <c r="AQ42" s="219" t="s">
        <v>903</v>
      </c>
      <c r="AR42" s="219" t="s">
        <v>905</v>
      </c>
      <c r="AS42" s="219" t="s">
        <v>847</v>
      </c>
      <c r="AT42" s="219" t="s">
        <v>724</v>
      </c>
      <c r="AU42" s="219" t="s">
        <v>3</v>
      </c>
      <c r="AV42" s="219" t="s">
        <v>723</v>
      </c>
      <c r="BG42" s="219" t="s">
        <v>315</v>
      </c>
      <c r="BH42" s="340">
        <v>0</v>
      </c>
      <c r="BI42" s="340">
        <v>100000000</v>
      </c>
      <c r="BN42" s="219" t="s">
        <v>1086</v>
      </c>
    </row>
    <row r="43" spans="3:66" x14ac:dyDescent="0.2">
      <c r="C43" s="234" t="s">
        <v>82</v>
      </c>
      <c r="N43" s="201" t="s">
        <v>601</v>
      </c>
      <c r="O43" s="203">
        <v>1513009</v>
      </c>
      <c r="AB43" s="201" t="s">
        <v>777</v>
      </c>
      <c r="AC43" s="203"/>
      <c r="AD43" s="203" t="s">
        <v>165</v>
      </c>
      <c r="AL43" s="219" t="s">
        <v>1540</v>
      </c>
      <c r="AM43" s="233" t="s">
        <v>259</v>
      </c>
      <c r="AP43" s="340" t="s">
        <v>346</v>
      </c>
      <c r="BN43" s="219" t="s">
        <v>1087</v>
      </c>
    </row>
    <row r="44" spans="3:66" x14ac:dyDescent="0.2">
      <c r="C44" s="234" t="s">
        <v>83</v>
      </c>
      <c r="N44" s="201" t="s">
        <v>602</v>
      </c>
      <c r="O44" s="203">
        <v>1513200</v>
      </c>
      <c r="AB44" s="201" t="s">
        <v>778</v>
      </c>
      <c r="AC44" s="203"/>
      <c r="AD44" s="203" t="s">
        <v>165</v>
      </c>
      <c r="AM44" s="219" t="s">
        <v>906</v>
      </c>
      <c r="AN44" s="219" t="s">
        <v>682</v>
      </c>
      <c r="AO44" s="219" t="s">
        <v>833</v>
      </c>
      <c r="AP44" s="340" t="s">
        <v>365</v>
      </c>
      <c r="AQ44" s="219" t="s">
        <v>843</v>
      </c>
      <c r="AR44" s="219" t="s">
        <v>914</v>
      </c>
      <c r="AS44" s="219" t="s">
        <v>847</v>
      </c>
      <c r="AT44" s="219">
        <v>0</v>
      </c>
      <c r="AU44" s="219" t="s">
        <v>3</v>
      </c>
      <c r="AV44" s="219">
        <v>360</v>
      </c>
      <c r="BN44" s="233" t="s">
        <v>328</v>
      </c>
    </row>
    <row r="45" spans="3:66" x14ac:dyDescent="0.2">
      <c r="C45" s="235" t="s">
        <v>85</v>
      </c>
      <c r="N45" s="201" t="s">
        <v>603</v>
      </c>
      <c r="O45" s="203">
        <v>1513500</v>
      </c>
      <c r="AB45" s="201" t="s">
        <v>779</v>
      </c>
      <c r="AC45" s="203"/>
      <c r="AD45" s="203" t="s">
        <v>165</v>
      </c>
      <c r="AM45" s="219" t="s">
        <v>907</v>
      </c>
      <c r="AN45" s="219" t="s">
        <v>682</v>
      </c>
      <c r="AO45" s="219" t="s">
        <v>833</v>
      </c>
      <c r="AP45" s="340" t="s">
        <v>366</v>
      </c>
      <c r="AQ45" s="219" t="s">
        <v>843</v>
      </c>
      <c r="AR45" s="219" t="s">
        <v>915</v>
      </c>
      <c r="AS45" s="219" t="s">
        <v>836</v>
      </c>
      <c r="AT45" s="219">
        <v>0</v>
      </c>
      <c r="AU45" s="219" t="s">
        <v>3</v>
      </c>
      <c r="AV45" s="219">
        <v>120</v>
      </c>
      <c r="BN45" s="219" t="s">
        <v>1088</v>
      </c>
    </row>
    <row r="46" spans="3:66" x14ac:dyDescent="0.2">
      <c r="C46" s="234" t="s">
        <v>84</v>
      </c>
      <c r="N46" s="201" t="s">
        <v>604</v>
      </c>
      <c r="O46" s="203">
        <v>1513600</v>
      </c>
      <c r="AB46" s="201" t="s">
        <v>780</v>
      </c>
      <c r="AC46" s="203"/>
      <c r="AD46" s="203" t="s">
        <v>165</v>
      </c>
      <c r="AM46" s="219" t="s">
        <v>908</v>
      </c>
      <c r="AN46" s="219" t="s">
        <v>682</v>
      </c>
      <c r="AO46" s="219" t="s">
        <v>833</v>
      </c>
      <c r="AP46" s="340" t="s">
        <v>367</v>
      </c>
      <c r="AQ46" s="219" t="s">
        <v>843</v>
      </c>
      <c r="AR46" s="219" t="s">
        <v>886</v>
      </c>
      <c r="AS46" s="219" t="s">
        <v>204</v>
      </c>
      <c r="AT46" s="219" t="s">
        <v>3</v>
      </c>
      <c r="AU46" s="219" t="s">
        <v>3</v>
      </c>
      <c r="AV46" s="219">
        <v>180</v>
      </c>
      <c r="BN46" s="219" t="s">
        <v>1089</v>
      </c>
    </row>
    <row r="47" spans="3:66" x14ac:dyDescent="0.2">
      <c r="C47" s="234" t="s">
        <v>86</v>
      </c>
      <c r="N47" s="201" t="s">
        <v>605</v>
      </c>
      <c r="O47" s="203">
        <v>1513700</v>
      </c>
      <c r="AB47" s="201" t="s">
        <v>781</v>
      </c>
      <c r="AC47" s="203" t="s">
        <v>167</v>
      </c>
      <c r="AD47" s="203"/>
      <c r="AM47" s="219" t="s">
        <v>909</v>
      </c>
      <c r="AN47" s="219" t="s">
        <v>683</v>
      </c>
      <c r="AO47" s="219" t="s">
        <v>840</v>
      </c>
      <c r="AP47" s="340" t="s">
        <v>368</v>
      </c>
      <c r="AQ47" s="219" t="s">
        <v>843</v>
      </c>
      <c r="AR47" s="219" t="s">
        <v>916</v>
      </c>
      <c r="AS47" s="219" t="s">
        <v>847</v>
      </c>
      <c r="AT47" s="219">
        <v>0</v>
      </c>
      <c r="AU47" s="219" t="s">
        <v>3</v>
      </c>
      <c r="AV47" s="219">
        <v>8</v>
      </c>
      <c r="BN47" s="219" t="s">
        <v>1090</v>
      </c>
    </row>
    <row r="48" spans="3:66" x14ac:dyDescent="0.2">
      <c r="C48" s="234" t="s">
        <v>87</v>
      </c>
      <c r="N48" s="201" t="s">
        <v>606</v>
      </c>
      <c r="O48" s="203">
        <v>1515000</v>
      </c>
      <c r="AB48" s="201" t="s">
        <v>782</v>
      </c>
      <c r="AC48" s="203"/>
      <c r="AD48" s="203" t="s">
        <v>165</v>
      </c>
      <c r="AM48" s="219" t="s">
        <v>910</v>
      </c>
      <c r="AN48" s="219" t="s">
        <v>683</v>
      </c>
      <c r="AO48" s="219" t="s">
        <v>840</v>
      </c>
      <c r="AP48" s="340" t="s">
        <v>369</v>
      </c>
      <c r="AQ48" s="219" t="s">
        <v>843</v>
      </c>
      <c r="AR48" s="219" t="s">
        <v>917</v>
      </c>
      <c r="AS48" s="219" t="s">
        <v>847</v>
      </c>
      <c r="AT48" s="219">
        <v>0</v>
      </c>
      <c r="AU48" s="219" t="s">
        <v>3</v>
      </c>
      <c r="AV48" s="219">
        <v>1</v>
      </c>
      <c r="BN48" s="219" t="s">
        <v>1091</v>
      </c>
    </row>
    <row r="49" spans="3:66" x14ac:dyDescent="0.2">
      <c r="C49" s="234" t="s">
        <v>88</v>
      </c>
      <c r="N49" s="201" t="s">
        <v>607</v>
      </c>
      <c r="O49" s="203">
        <v>1515100</v>
      </c>
      <c r="AB49" s="201" t="s">
        <v>783</v>
      </c>
      <c r="AC49" s="203"/>
      <c r="AD49" s="203" t="s">
        <v>165</v>
      </c>
      <c r="AM49" s="219" t="s">
        <v>911</v>
      </c>
      <c r="AN49" s="219" t="s">
        <v>683</v>
      </c>
      <c r="AO49" s="219" t="s">
        <v>840</v>
      </c>
      <c r="AP49" s="340" t="s">
        <v>370</v>
      </c>
      <c r="AQ49" s="219" t="s">
        <v>843</v>
      </c>
      <c r="AR49" s="219" t="s">
        <v>917</v>
      </c>
      <c r="AS49" s="219" t="s">
        <v>847</v>
      </c>
      <c r="AT49" s="219">
        <v>0</v>
      </c>
      <c r="AU49" s="219" t="s">
        <v>3</v>
      </c>
      <c r="AV49" s="219">
        <v>2</v>
      </c>
      <c r="BN49" s="219" t="s">
        <v>1092</v>
      </c>
    </row>
    <row r="50" spans="3:66" x14ac:dyDescent="0.2">
      <c r="C50" s="234" t="s">
        <v>89</v>
      </c>
      <c r="N50" s="201" t="s">
        <v>608</v>
      </c>
      <c r="O50" s="203">
        <v>1515300</v>
      </c>
      <c r="AB50" s="233" t="s">
        <v>177</v>
      </c>
      <c r="AC50" s="202"/>
      <c r="AD50" s="202"/>
      <c r="AM50" s="219" t="s">
        <v>912</v>
      </c>
      <c r="AN50" s="219" t="s">
        <v>683</v>
      </c>
      <c r="AO50" s="219" t="s">
        <v>840</v>
      </c>
      <c r="AP50" s="340" t="s">
        <v>371</v>
      </c>
      <c r="AQ50" s="219" t="s">
        <v>843</v>
      </c>
      <c r="AR50" s="219" t="s">
        <v>918</v>
      </c>
      <c r="AS50" s="219" t="s">
        <v>847</v>
      </c>
      <c r="AT50" s="219">
        <v>0</v>
      </c>
      <c r="AU50" s="219" t="s">
        <v>3</v>
      </c>
      <c r="AV50" s="219">
        <v>36</v>
      </c>
    </row>
    <row r="51" spans="3:66" x14ac:dyDescent="0.2">
      <c r="C51" s="234" t="s">
        <v>90</v>
      </c>
      <c r="N51" s="201" t="s">
        <v>609</v>
      </c>
      <c r="O51" s="203">
        <v>1516000</v>
      </c>
      <c r="AB51" s="201" t="s">
        <v>784</v>
      </c>
      <c r="AC51" s="203" t="s">
        <v>165</v>
      </c>
      <c r="AD51" s="203"/>
      <c r="AM51" s="219" t="s">
        <v>913</v>
      </c>
      <c r="AN51" s="219" t="s">
        <v>683</v>
      </c>
      <c r="AO51" s="219" t="s">
        <v>840</v>
      </c>
      <c r="AP51" s="340" t="s">
        <v>372</v>
      </c>
      <c r="AQ51" s="219" t="s">
        <v>843</v>
      </c>
      <c r="AR51" s="219" t="s">
        <v>918</v>
      </c>
      <c r="AS51" s="219" t="s">
        <v>847</v>
      </c>
      <c r="AT51" s="219">
        <v>0</v>
      </c>
      <c r="AU51" s="219" t="s">
        <v>3</v>
      </c>
      <c r="AV51" s="219">
        <v>30</v>
      </c>
    </row>
    <row r="52" spans="3:66" x14ac:dyDescent="0.2">
      <c r="C52" s="234" t="s">
        <v>91</v>
      </c>
      <c r="N52" s="201" t="s">
        <v>610</v>
      </c>
      <c r="O52" s="203">
        <v>1516004</v>
      </c>
      <c r="AB52" s="201" t="s">
        <v>785</v>
      </c>
      <c r="AC52" s="203" t="s">
        <v>165</v>
      </c>
      <c r="AD52" s="203"/>
      <c r="AM52" s="233" t="s">
        <v>260</v>
      </c>
      <c r="AP52" s="340" t="s">
        <v>346</v>
      </c>
    </row>
    <row r="53" spans="3:66" x14ac:dyDescent="0.2">
      <c r="C53" s="234" t="s">
        <v>92</v>
      </c>
      <c r="N53" s="201" t="s">
        <v>611</v>
      </c>
      <c r="O53" s="203">
        <v>1516005</v>
      </c>
      <c r="AB53" s="201" t="s">
        <v>786</v>
      </c>
      <c r="AC53" s="203" t="s">
        <v>165</v>
      </c>
      <c r="AD53" s="203" t="s">
        <v>165</v>
      </c>
      <c r="AM53" s="219" t="s">
        <v>919</v>
      </c>
      <c r="AN53" s="219" t="s">
        <v>682</v>
      </c>
      <c r="AO53" s="219" t="s">
        <v>833</v>
      </c>
      <c r="AP53" s="340" t="s">
        <v>373</v>
      </c>
      <c r="AQ53" s="219" t="s">
        <v>931</v>
      </c>
      <c r="AR53" s="219" t="s">
        <v>886</v>
      </c>
      <c r="AS53" s="219" t="s">
        <v>836</v>
      </c>
      <c r="AT53" s="219" t="s">
        <v>205</v>
      </c>
      <c r="AU53" s="219" t="s">
        <v>190</v>
      </c>
      <c r="AV53" s="219" t="s">
        <v>191</v>
      </c>
    </row>
    <row r="54" spans="3:66" x14ac:dyDescent="0.2">
      <c r="C54" s="234" t="s">
        <v>93</v>
      </c>
      <c r="N54" s="201" t="s">
        <v>612</v>
      </c>
      <c r="O54" s="203">
        <v>1516020</v>
      </c>
      <c r="AB54" s="233" t="s">
        <v>178</v>
      </c>
      <c r="AC54" s="202"/>
      <c r="AD54" s="202"/>
      <c r="AM54" s="219" t="s">
        <v>920</v>
      </c>
      <c r="AN54" s="219" t="s">
        <v>682</v>
      </c>
      <c r="AO54" s="219" t="s">
        <v>833</v>
      </c>
      <c r="AP54" s="340" t="s">
        <v>374</v>
      </c>
      <c r="AQ54" s="219" t="s">
        <v>843</v>
      </c>
      <c r="AR54" s="219" t="s">
        <v>914</v>
      </c>
      <c r="AS54" s="219" t="s">
        <v>836</v>
      </c>
      <c r="AT54" s="219">
        <v>0</v>
      </c>
      <c r="AU54" s="219" t="s">
        <v>3</v>
      </c>
      <c r="AV54" s="219">
        <v>5</v>
      </c>
    </row>
    <row r="55" spans="3:66" x14ac:dyDescent="0.2">
      <c r="C55" s="234" t="s">
        <v>94</v>
      </c>
      <c r="N55" s="201" t="s">
        <v>613</v>
      </c>
      <c r="O55" s="203">
        <v>1517000</v>
      </c>
      <c r="AB55" s="201" t="s">
        <v>787</v>
      </c>
      <c r="AC55" s="203" t="s">
        <v>165</v>
      </c>
      <c r="AD55" s="203"/>
      <c r="AM55" s="219" t="s">
        <v>921</v>
      </c>
      <c r="AN55" s="219" t="s">
        <v>683</v>
      </c>
      <c r="AO55" s="219" t="s">
        <v>840</v>
      </c>
      <c r="AP55" s="340" t="s">
        <v>375</v>
      </c>
      <c r="AQ55" s="219" t="s">
        <v>843</v>
      </c>
      <c r="AR55" s="219" t="s">
        <v>914</v>
      </c>
      <c r="AS55" s="219" t="s">
        <v>847</v>
      </c>
      <c r="AT55" s="219">
        <v>0</v>
      </c>
      <c r="AU55" s="219" t="s">
        <v>3</v>
      </c>
      <c r="AV55" s="219">
        <v>10</v>
      </c>
    </row>
    <row r="56" spans="3:66" x14ac:dyDescent="0.2">
      <c r="C56" s="234" t="s">
        <v>95</v>
      </c>
      <c r="N56" s="201" t="s">
        <v>614</v>
      </c>
      <c r="O56" s="203">
        <v>1518500</v>
      </c>
      <c r="AB56" s="201" t="s">
        <v>540</v>
      </c>
      <c r="AC56" s="203" t="s">
        <v>165</v>
      </c>
      <c r="AD56" s="203"/>
      <c r="AM56" s="219" t="s">
        <v>922</v>
      </c>
      <c r="AN56" s="219" t="s">
        <v>683</v>
      </c>
      <c r="AO56" s="219" t="s">
        <v>840</v>
      </c>
      <c r="AP56" s="340" t="s">
        <v>376</v>
      </c>
      <c r="AQ56" s="219" t="s">
        <v>843</v>
      </c>
      <c r="AR56" s="219" t="s">
        <v>918</v>
      </c>
      <c r="AS56" s="219" t="s">
        <v>847</v>
      </c>
      <c r="AT56" s="219">
        <v>0</v>
      </c>
      <c r="AU56" s="219" t="s">
        <v>3</v>
      </c>
      <c r="AV56" s="219">
        <v>500</v>
      </c>
    </row>
    <row r="57" spans="3:66" x14ac:dyDescent="0.2">
      <c r="C57" s="234" t="s">
        <v>96</v>
      </c>
      <c r="N57" s="201" t="s">
        <v>615</v>
      </c>
      <c r="O57" s="203">
        <v>1518501</v>
      </c>
      <c r="AB57" s="201" t="s">
        <v>788</v>
      </c>
      <c r="AC57" s="203" t="s">
        <v>165</v>
      </c>
      <c r="AD57" s="203"/>
      <c r="AM57" s="219" t="s">
        <v>923</v>
      </c>
      <c r="AN57" s="219" t="s">
        <v>683</v>
      </c>
      <c r="AO57" s="219" t="s">
        <v>840</v>
      </c>
      <c r="AP57" s="340" t="s">
        <v>377</v>
      </c>
      <c r="AQ57" s="219" t="s">
        <v>843</v>
      </c>
      <c r="AR57" s="219" t="s">
        <v>914</v>
      </c>
      <c r="AS57" s="219" t="s">
        <v>847</v>
      </c>
      <c r="AT57" s="219">
        <v>0</v>
      </c>
      <c r="AU57" s="219" t="s">
        <v>3</v>
      </c>
      <c r="AV57" s="219">
        <v>20</v>
      </c>
    </row>
    <row r="58" spans="3:66" x14ac:dyDescent="0.2">
      <c r="C58" s="234" t="s">
        <v>97</v>
      </c>
      <c r="N58" s="201" t="s">
        <v>616</v>
      </c>
      <c r="O58" s="203">
        <v>1606200</v>
      </c>
      <c r="AB58" s="201" t="s">
        <v>789</v>
      </c>
      <c r="AC58" s="203"/>
      <c r="AD58" s="203" t="s">
        <v>165</v>
      </c>
      <c r="AM58" s="219" t="s">
        <v>924</v>
      </c>
      <c r="AN58" s="219" t="s">
        <v>683</v>
      </c>
      <c r="AO58" s="219" t="s">
        <v>840</v>
      </c>
      <c r="AP58" s="340" t="s">
        <v>378</v>
      </c>
      <c r="AQ58" s="219" t="s">
        <v>903</v>
      </c>
      <c r="AR58" s="219" t="s">
        <v>918</v>
      </c>
      <c r="AS58" s="219" t="s">
        <v>847</v>
      </c>
      <c r="AT58" s="219" t="s">
        <v>724</v>
      </c>
      <c r="AU58" s="219" t="s">
        <v>3</v>
      </c>
      <c r="AV58" s="219" t="s">
        <v>723</v>
      </c>
    </row>
    <row r="59" spans="3:66" x14ac:dyDescent="0.2">
      <c r="C59" s="235" t="s">
        <v>99</v>
      </c>
      <c r="N59" s="200" t="s">
        <v>142</v>
      </c>
      <c r="AB59" s="201" t="s">
        <v>790</v>
      </c>
      <c r="AC59" s="203"/>
      <c r="AD59" s="203" t="s">
        <v>167</v>
      </c>
      <c r="AM59" s="219" t="s">
        <v>925</v>
      </c>
      <c r="AN59" s="219" t="s">
        <v>683</v>
      </c>
      <c r="AO59" s="219" t="s">
        <v>840</v>
      </c>
      <c r="AP59" s="340" t="s">
        <v>379</v>
      </c>
      <c r="AQ59" s="219" t="s">
        <v>843</v>
      </c>
      <c r="AR59" s="219" t="s">
        <v>932</v>
      </c>
      <c r="AS59" s="219" t="s">
        <v>847</v>
      </c>
      <c r="AT59" s="219">
        <v>0</v>
      </c>
      <c r="AU59" s="219" t="s">
        <v>3</v>
      </c>
      <c r="AV59" s="219">
        <v>160</v>
      </c>
    </row>
    <row r="60" spans="3:66" x14ac:dyDescent="0.2">
      <c r="C60" s="234" t="s">
        <v>98</v>
      </c>
      <c r="N60" s="201" t="s">
        <v>617</v>
      </c>
      <c r="O60" s="203">
        <v>1516010</v>
      </c>
      <c r="AB60" s="233" t="s">
        <v>179</v>
      </c>
      <c r="AC60" s="202"/>
      <c r="AD60" s="202"/>
      <c r="AM60" s="219" t="s">
        <v>926</v>
      </c>
      <c r="AN60" s="219" t="s">
        <v>683</v>
      </c>
      <c r="AO60" s="219" t="s">
        <v>840</v>
      </c>
      <c r="AP60" s="340" t="s">
        <v>380</v>
      </c>
      <c r="AQ60" s="219" t="s">
        <v>843</v>
      </c>
      <c r="AR60" s="219" t="s">
        <v>932</v>
      </c>
      <c r="AS60" s="219" t="s">
        <v>847</v>
      </c>
      <c r="AT60" s="219">
        <v>0</v>
      </c>
      <c r="AU60" s="219" t="s">
        <v>3</v>
      </c>
      <c r="AV60" s="219">
        <v>100</v>
      </c>
    </row>
    <row r="61" spans="3:66" x14ac:dyDescent="0.2">
      <c r="C61" s="234" t="s">
        <v>100</v>
      </c>
      <c r="N61" s="201" t="s">
        <v>618</v>
      </c>
      <c r="O61" s="203">
        <v>1601000</v>
      </c>
      <c r="AB61" s="201" t="s">
        <v>791</v>
      </c>
      <c r="AC61" s="203" t="s">
        <v>165</v>
      </c>
      <c r="AD61" s="203"/>
      <c r="AM61" s="219" t="s">
        <v>927</v>
      </c>
      <c r="AN61" s="219" t="s">
        <v>683</v>
      </c>
      <c r="AO61" s="219" t="s">
        <v>840</v>
      </c>
      <c r="AP61" s="340" t="s">
        <v>381</v>
      </c>
      <c r="AQ61" s="219" t="s">
        <v>843</v>
      </c>
      <c r="AR61" s="219" t="s">
        <v>933</v>
      </c>
      <c r="AS61" s="219" t="s">
        <v>847</v>
      </c>
      <c r="AT61" s="219">
        <v>0</v>
      </c>
      <c r="AU61" s="219" t="s">
        <v>3</v>
      </c>
      <c r="AV61" s="219">
        <v>2</v>
      </c>
    </row>
    <row r="62" spans="3:66" x14ac:dyDescent="0.2">
      <c r="C62" s="234" t="s">
        <v>101</v>
      </c>
      <c r="N62" s="201" t="s">
        <v>619</v>
      </c>
      <c r="O62" s="203">
        <v>1602000</v>
      </c>
      <c r="AB62" s="201" t="s">
        <v>792</v>
      </c>
      <c r="AC62" s="203"/>
      <c r="AD62" s="203" t="s">
        <v>165</v>
      </c>
      <c r="AM62" s="219" t="s">
        <v>929</v>
      </c>
      <c r="AN62" s="219" t="s">
        <v>683</v>
      </c>
      <c r="AO62" s="219" t="s">
        <v>840</v>
      </c>
      <c r="AP62" s="340" t="s">
        <v>382</v>
      </c>
      <c r="AQ62" s="219" t="s">
        <v>843</v>
      </c>
      <c r="AR62" s="219" t="s">
        <v>914</v>
      </c>
      <c r="AS62" s="219" t="s">
        <v>847</v>
      </c>
      <c r="AT62" s="219">
        <v>0</v>
      </c>
      <c r="AU62" s="219" t="s">
        <v>3</v>
      </c>
      <c r="AV62" s="219">
        <v>1</v>
      </c>
    </row>
    <row r="63" spans="3:66" x14ac:dyDescent="0.2">
      <c r="C63" s="234" t="s">
        <v>102</v>
      </c>
      <c r="N63" s="201" t="s">
        <v>620</v>
      </c>
      <c r="O63" s="203">
        <v>1602001</v>
      </c>
      <c r="AB63" s="201" t="s">
        <v>793</v>
      </c>
      <c r="AC63" s="203"/>
      <c r="AD63" s="203" t="s">
        <v>165</v>
      </c>
      <c r="AM63" s="219" t="s">
        <v>930</v>
      </c>
      <c r="AN63" s="219" t="s">
        <v>683</v>
      </c>
      <c r="AO63" s="219" t="s">
        <v>840</v>
      </c>
      <c r="AP63" s="340" t="s">
        <v>383</v>
      </c>
      <c r="AQ63" s="219" t="s">
        <v>843</v>
      </c>
      <c r="AR63" s="219" t="s">
        <v>914</v>
      </c>
      <c r="AS63" s="219" t="s">
        <v>847</v>
      </c>
      <c r="AT63" s="219">
        <v>0</v>
      </c>
      <c r="AU63" s="219" t="s">
        <v>3</v>
      </c>
      <c r="AV63" s="219">
        <v>1</v>
      </c>
    </row>
    <row r="64" spans="3:66" x14ac:dyDescent="0.2">
      <c r="C64" s="234" t="s">
        <v>103</v>
      </c>
      <c r="N64" s="201" t="s">
        <v>621</v>
      </c>
      <c r="O64" s="203">
        <v>1603000</v>
      </c>
      <c r="AB64" s="201" t="s">
        <v>794</v>
      </c>
      <c r="AC64" s="203"/>
      <c r="AD64" s="203" t="s">
        <v>165</v>
      </c>
      <c r="AM64" s="219" t="s">
        <v>928</v>
      </c>
      <c r="AN64" s="219" t="s">
        <v>683</v>
      </c>
      <c r="AO64" s="219" t="s">
        <v>840</v>
      </c>
      <c r="AP64" s="340" t="s">
        <v>384</v>
      </c>
      <c r="AQ64" s="219" t="s">
        <v>843</v>
      </c>
      <c r="AR64" s="219" t="s">
        <v>918</v>
      </c>
      <c r="AS64" s="219" t="s">
        <v>847</v>
      </c>
      <c r="AT64" s="219">
        <v>0</v>
      </c>
      <c r="AU64" s="219" t="s">
        <v>3</v>
      </c>
      <c r="AV64" s="219">
        <v>45</v>
      </c>
    </row>
    <row r="65" spans="3:48" x14ac:dyDescent="0.2">
      <c r="C65" s="234" t="s">
        <v>104</v>
      </c>
      <c r="N65" s="201" t="s">
        <v>622</v>
      </c>
      <c r="O65" s="203">
        <v>1604000</v>
      </c>
      <c r="AB65" s="201" t="s">
        <v>795</v>
      </c>
      <c r="AC65" s="203"/>
      <c r="AD65" s="203" t="s">
        <v>165</v>
      </c>
      <c r="AM65" s="233" t="s">
        <v>261</v>
      </c>
      <c r="AP65" s="340" t="s">
        <v>346</v>
      </c>
    </row>
    <row r="66" spans="3:48" x14ac:dyDescent="0.2">
      <c r="C66" s="234" t="s">
        <v>105</v>
      </c>
      <c r="N66" s="201" t="s">
        <v>623</v>
      </c>
      <c r="O66" s="203">
        <v>1605000</v>
      </c>
      <c r="AB66" s="201" t="s">
        <v>796</v>
      </c>
      <c r="AC66" s="203"/>
      <c r="AD66" s="203" t="s">
        <v>165</v>
      </c>
      <c r="AM66" s="219" t="s">
        <v>934</v>
      </c>
      <c r="AN66" s="219" t="s">
        <v>682</v>
      </c>
      <c r="AO66" s="219" t="s">
        <v>833</v>
      </c>
      <c r="AP66" s="340" t="s">
        <v>385</v>
      </c>
      <c r="AQ66" s="219" t="s">
        <v>834</v>
      </c>
      <c r="AR66" s="219" t="s">
        <v>914</v>
      </c>
      <c r="AS66" s="219" t="s">
        <v>836</v>
      </c>
      <c r="AT66" s="219">
        <v>43619</v>
      </c>
      <c r="AU66" s="219">
        <v>2016</v>
      </c>
      <c r="AV66" s="219">
        <v>4</v>
      </c>
    </row>
    <row r="67" spans="3:48" x14ac:dyDescent="0.2">
      <c r="C67" s="234" t="s">
        <v>106</v>
      </c>
      <c r="N67" s="201" t="s">
        <v>624</v>
      </c>
      <c r="O67" s="203">
        <v>1606100</v>
      </c>
      <c r="AM67" s="219" t="s">
        <v>935</v>
      </c>
      <c r="AN67" s="219" t="s">
        <v>682</v>
      </c>
      <c r="AO67" s="219" t="s">
        <v>833</v>
      </c>
      <c r="AP67" s="340" t="s">
        <v>386</v>
      </c>
      <c r="AQ67" s="219" t="s">
        <v>843</v>
      </c>
      <c r="AR67" s="219" t="s">
        <v>914</v>
      </c>
      <c r="AS67" s="219" t="s">
        <v>847</v>
      </c>
      <c r="AT67" s="219">
        <v>0</v>
      </c>
      <c r="AU67" s="219" t="s">
        <v>3</v>
      </c>
      <c r="AV67" s="219">
        <v>50</v>
      </c>
    </row>
    <row r="68" spans="3:48" x14ac:dyDescent="0.2">
      <c r="C68" s="234" t="s">
        <v>107</v>
      </c>
      <c r="N68" s="201" t="s">
        <v>625</v>
      </c>
      <c r="O68" s="203">
        <v>1606116</v>
      </c>
      <c r="AM68" s="219" t="s">
        <v>939</v>
      </c>
      <c r="AN68" s="219" t="s">
        <v>682</v>
      </c>
      <c r="AO68" s="219" t="s">
        <v>833</v>
      </c>
      <c r="AP68" s="340" t="s">
        <v>387</v>
      </c>
      <c r="AQ68" s="219" t="s">
        <v>887</v>
      </c>
      <c r="AR68" s="219" t="s">
        <v>914</v>
      </c>
      <c r="AS68" s="219" t="s">
        <v>836</v>
      </c>
      <c r="AT68" s="219" t="s">
        <v>206</v>
      </c>
      <c r="AU68" s="219">
        <v>2016</v>
      </c>
      <c r="AV68" s="219" t="s">
        <v>207</v>
      </c>
    </row>
    <row r="69" spans="3:48" x14ac:dyDescent="0.2">
      <c r="C69" s="235" t="s">
        <v>109</v>
      </c>
      <c r="N69" s="201" t="s">
        <v>626</v>
      </c>
      <c r="O69" s="203">
        <v>1606117</v>
      </c>
      <c r="AM69" s="219" t="s">
        <v>936</v>
      </c>
      <c r="AN69" s="219" t="s">
        <v>683</v>
      </c>
      <c r="AO69" s="219" t="s">
        <v>840</v>
      </c>
      <c r="AP69" s="340" t="s">
        <v>388</v>
      </c>
      <c r="AQ69" s="219" t="s">
        <v>843</v>
      </c>
      <c r="AR69" s="219" t="s">
        <v>914</v>
      </c>
      <c r="AS69" s="219" t="s">
        <v>847</v>
      </c>
      <c r="AT69" s="219">
        <v>0</v>
      </c>
      <c r="AU69" s="219" t="s">
        <v>3</v>
      </c>
      <c r="AV69" s="219">
        <v>3</v>
      </c>
    </row>
    <row r="70" spans="3:48" x14ac:dyDescent="0.2">
      <c r="C70" s="234" t="s">
        <v>108</v>
      </c>
      <c r="N70" s="201" t="s">
        <v>627</v>
      </c>
      <c r="O70" s="203">
        <v>1606118</v>
      </c>
      <c r="AM70" s="219" t="s">
        <v>937</v>
      </c>
      <c r="AN70" s="219" t="s">
        <v>683</v>
      </c>
      <c r="AO70" s="219" t="s">
        <v>840</v>
      </c>
      <c r="AP70" s="340" t="s">
        <v>389</v>
      </c>
      <c r="AQ70" s="219" t="s">
        <v>843</v>
      </c>
      <c r="AR70" s="219" t="s">
        <v>905</v>
      </c>
      <c r="AS70" s="219" t="s">
        <v>847</v>
      </c>
      <c r="AT70" s="219">
        <v>0</v>
      </c>
      <c r="AU70" s="219" t="s">
        <v>3</v>
      </c>
      <c r="AV70" s="219">
        <v>6</v>
      </c>
    </row>
    <row r="71" spans="3:48" x14ac:dyDescent="0.2">
      <c r="C71" s="234" t="s">
        <v>110</v>
      </c>
      <c r="N71" s="201" t="s">
        <v>628</v>
      </c>
      <c r="O71" s="203">
        <v>1606400</v>
      </c>
      <c r="AM71" s="219" t="s">
        <v>938</v>
      </c>
      <c r="AN71" s="219" t="s">
        <v>683</v>
      </c>
      <c r="AO71" s="219" t="s">
        <v>840</v>
      </c>
      <c r="AP71" s="340" t="s">
        <v>390</v>
      </c>
      <c r="AQ71" s="219" t="s">
        <v>843</v>
      </c>
      <c r="AR71" s="219" t="s">
        <v>940</v>
      </c>
      <c r="AS71" s="219" t="s">
        <v>847</v>
      </c>
      <c r="AT71" s="219">
        <v>0</v>
      </c>
      <c r="AU71" s="219" t="s">
        <v>3</v>
      </c>
      <c r="AV71" s="219">
        <v>6</v>
      </c>
    </row>
    <row r="72" spans="3:48" x14ac:dyDescent="0.2">
      <c r="C72" s="234" t="s">
        <v>111</v>
      </c>
      <c r="N72" s="200" t="s">
        <v>140</v>
      </c>
      <c r="AM72" s="233" t="s">
        <v>459</v>
      </c>
      <c r="AP72" s="340" t="s">
        <v>346</v>
      </c>
    </row>
    <row r="73" spans="3:48" x14ac:dyDescent="0.2">
      <c r="C73" s="234" t="s">
        <v>112</v>
      </c>
      <c r="N73" s="201" t="s">
        <v>629</v>
      </c>
      <c r="O73" s="203">
        <v>2303001</v>
      </c>
      <c r="AM73" s="219" t="s">
        <v>879</v>
      </c>
      <c r="AN73" s="219" t="s">
        <v>682</v>
      </c>
      <c r="AO73" s="219" t="s">
        <v>833</v>
      </c>
      <c r="AP73" s="340" t="s">
        <v>391</v>
      </c>
      <c r="AQ73" s="219" t="s">
        <v>885</v>
      </c>
      <c r="AR73" s="219" t="s">
        <v>886</v>
      </c>
      <c r="AS73" s="219" t="s">
        <v>836</v>
      </c>
      <c r="AT73" s="219" t="s">
        <v>190</v>
      </c>
      <c r="AU73" s="219">
        <v>2019</v>
      </c>
      <c r="AV73" s="219" t="s">
        <v>889</v>
      </c>
    </row>
    <row r="74" spans="3:48" x14ac:dyDescent="0.2">
      <c r="C74" s="234" t="s">
        <v>4</v>
      </c>
      <c r="N74" s="201" t="s">
        <v>630</v>
      </c>
      <c r="O74" s="203">
        <v>2303002</v>
      </c>
      <c r="AM74" s="219" t="s">
        <v>941</v>
      </c>
      <c r="AN74" s="219" t="s">
        <v>682</v>
      </c>
      <c r="AO74" s="219" t="s">
        <v>833</v>
      </c>
      <c r="AP74" s="340" t="s">
        <v>392</v>
      </c>
      <c r="AQ74" s="219" t="s">
        <v>885</v>
      </c>
      <c r="AR74" s="219" t="s">
        <v>886</v>
      </c>
      <c r="AS74" s="219" t="s">
        <v>836</v>
      </c>
      <c r="AT74" s="219" t="s">
        <v>190</v>
      </c>
      <c r="AU74" s="219">
        <v>2019</v>
      </c>
      <c r="AV74" s="219" t="s">
        <v>889</v>
      </c>
    </row>
    <row r="75" spans="3:48" x14ac:dyDescent="0.2">
      <c r="C75" s="234" t="s">
        <v>5</v>
      </c>
      <c r="N75" s="201" t="s">
        <v>631</v>
      </c>
      <c r="O75" s="203">
        <v>2311000</v>
      </c>
      <c r="AM75" s="219" t="s">
        <v>881</v>
      </c>
      <c r="AN75" s="219" t="s">
        <v>682</v>
      </c>
      <c r="AO75" s="219" t="s">
        <v>840</v>
      </c>
      <c r="AP75" s="340" t="s">
        <v>393</v>
      </c>
      <c r="AQ75" s="219" t="s">
        <v>887</v>
      </c>
      <c r="AR75" s="219" t="s">
        <v>886</v>
      </c>
      <c r="AS75" s="219" t="s">
        <v>836</v>
      </c>
      <c r="AT75" s="219" t="s">
        <v>3</v>
      </c>
      <c r="AU75" s="219" t="s">
        <v>3</v>
      </c>
      <c r="AV75" s="219" t="s">
        <v>201</v>
      </c>
    </row>
    <row r="76" spans="3:48" x14ac:dyDescent="0.2">
      <c r="C76" s="234" t="s">
        <v>6</v>
      </c>
      <c r="N76" s="201" t="s">
        <v>632</v>
      </c>
      <c r="O76" s="203">
        <v>2318100</v>
      </c>
      <c r="AM76" s="219" t="s">
        <v>942</v>
      </c>
      <c r="AN76" s="219" t="s">
        <v>683</v>
      </c>
      <c r="AO76" s="219" t="s">
        <v>840</v>
      </c>
      <c r="AP76" s="340" t="s">
        <v>394</v>
      </c>
      <c r="AQ76" s="219" t="s">
        <v>843</v>
      </c>
      <c r="AR76" s="219" t="s">
        <v>945</v>
      </c>
      <c r="AS76" s="219" t="s">
        <v>847</v>
      </c>
      <c r="AT76" s="219">
        <v>0</v>
      </c>
      <c r="AU76" s="219" t="s">
        <v>3</v>
      </c>
      <c r="AV76" s="219">
        <v>4</v>
      </c>
    </row>
    <row r="77" spans="3:48" x14ac:dyDescent="0.2">
      <c r="C77" s="235" t="s">
        <v>8</v>
      </c>
      <c r="N77" s="201" t="s">
        <v>633</v>
      </c>
      <c r="O77" s="203">
        <v>2321000</v>
      </c>
      <c r="AM77" s="219" t="s">
        <v>943</v>
      </c>
      <c r="AN77" s="219" t="s">
        <v>683</v>
      </c>
      <c r="AO77" s="219" t="s">
        <v>840</v>
      </c>
      <c r="AP77" s="340" t="s">
        <v>395</v>
      </c>
      <c r="AQ77" s="219" t="s">
        <v>843</v>
      </c>
      <c r="AR77" s="219" t="s">
        <v>918</v>
      </c>
      <c r="AS77" s="219" t="s">
        <v>847</v>
      </c>
      <c r="AT77" s="219">
        <v>0</v>
      </c>
      <c r="AU77" s="219" t="s">
        <v>3</v>
      </c>
      <c r="AV77" s="219">
        <v>36</v>
      </c>
    </row>
    <row r="78" spans="3:48" x14ac:dyDescent="0.2">
      <c r="C78" s="234" t="s">
        <v>7</v>
      </c>
      <c r="N78" s="201" t="s">
        <v>634</v>
      </c>
      <c r="O78" s="203">
        <v>2322000</v>
      </c>
      <c r="AM78" s="219" t="s">
        <v>944</v>
      </c>
      <c r="AN78" s="219" t="s">
        <v>683</v>
      </c>
      <c r="AO78" s="219" t="s">
        <v>840</v>
      </c>
      <c r="AP78" s="340" t="s">
        <v>396</v>
      </c>
      <c r="AQ78" s="219" t="s">
        <v>887</v>
      </c>
      <c r="AR78" s="219" t="s">
        <v>945</v>
      </c>
      <c r="AS78" s="219" t="s">
        <v>847</v>
      </c>
      <c r="AT78" s="219" t="s">
        <v>208</v>
      </c>
      <c r="AU78" s="219" t="s">
        <v>3</v>
      </c>
      <c r="AV78" s="219" t="s">
        <v>209</v>
      </c>
    </row>
    <row r="79" spans="3:48" x14ac:dyDescent="0.2">
      <c r="C79" s="234" t="s">
        <v>9</v>
      </c>
      <c r="N79" s="201" t="s">
        <v>635</v>
      </c>
      <c r="O79" s="203">
        <v>2323000</v>
      </c>
      <c r="AM79" s="233" t="s">
        <v>232</v>
      </c>
      <c r="AP79" s="340" t="s">
        <v>346</v>
      </c>
    </row>
    <row r="80" spans="3:48" x14ac:dyDescent="0.2">
      <c r="C80" s="234" t="s">
        <v>10</v>
      </c>
      <c r="N80" s="201" t="s">
        <v>636</v>
      </c>
      <c r="O80" s="203">
        <v>2324000</v>
      </c>
      <c r="AM80" s="219" t="s">
        <v>946</v>
      </c>
      <c r="AN80" s="219" t="s">
        <v>682</v>
      </c>
      <c r="AO80" s="219" t="s">
        <v>833</v>
      </c>
      <c r="AP80" s="340" t="s">
        <v>397</v>
      </c>
      <c r="AQ80" s="219" t="s">
        <v>887</v>
      </c>
      <c r="AR80" s="219" t="s">
        <v>886</v>
      </c>
      <c r="AS80" s="219" t="s">
        <v>836</v>
      </c>
      <c r="AT80" s="219" t="s">
        <v>190</v>
      </c>
      <c r="AU80" s="219">
        <v>2019</v>
      </c>
      <c r="AV80" s="219" t="s">
        <v>198</v>
      </c>
    </row>
    <row r="81" spans="3:48" x14ac:dyDescent="0.2">
      <c r="C81" s="234" t="s">
        <v>11</v>
      </c>
      <c r="N81" s="201" t="s">
        <v>637</v>
      </c>
      <c r="O81" s="203">
        <v>2325000</v>
      </c>
      <c r="AM81" s="219" t="s">
        <v>947</v>
      </c>
      <c r="AN81" s="219" t="s">
        <v>682</v>
      </c>
      <c r="AO81" s="219" t="s">
        <v>833</v>
      </c>
      <c r="AP81" s="340" t="s">
        <v>398</v>
      </c>
      <c r="AQ81" s="219" t="s">
        <v>887</v>
      </c>
      <c r="AR81" s="219" t="s">
        <v>886</v>
      </c>
      <c r="AS81" s="219" t="s">
        <v>836</v>
      </c>
      <c r="AT81" s="219" t="s">
        <v>202</v>
      </c>
      <c r="AU81" s="219">
        <v>2019</v>
      </c>
      <c r="AV81" s="219" t="s">
        <v>198</v>
      </c>
    </row>
    <row r="82" spans="3:48" x14ac:dyDescent="0.2">
      <c r="C82" s="234" t="s">
        <v>12</v>
      </c>
      <c r="N82" s="201" t="s">
        <v>638</v>
      </c>
      <c r="O82" s="203">
        <v>2326000</v>
      </c>
      <c r="AM82" s="219" t="s">
        <v>948</v>
      </c>
      <c r="AN82" s="219" t="s">
        <v>682</v>
      </c>
      <c r="AO82" s="219" t="s">
        <v>833</v>
      </c>
      <c r="AP82" s="340" t="s">
        <v>399</v>
      </c>
      <c r="AQ82" s="219" t="s">
        <v>887</v>
      </c>
      <c r="AR82" s="219" t="s">
        <v>886</v>
      </c>
      <c r="AS82" s="219" t="s">
        <v>836</v>
      </c>
      <c r="AT82" s="219" t="s">
        <v>202</v>
      </c>
      <c r="AU82" s="219">
        <v>2019</v>
      </c>
      <c r="AV82" s="219" t="s">
        <v>199</v>
      </c>
    </row>
    <row r="83" spans="3:48" x14ac:dyDescent="0.2">
      <c r="C83" s="234" t="s">
        <v>13</v>
      </c>
      <c r="N83" s="201" t="s">
        <v>639</v>
      </c>
      <c r="O83" s="203">
        <v>2327000</v>
      </c>
      <c r="AM83" s="219" t="s">
        <v>949</v>
      </c>
      <c r="AN83" s="219" t="s">
        <v>682</v>
      </c>
      <c r="AO83" s="219" t="s">
        <v>833</v>
      </c>
      <c r="AP83" s="340" t="s">
        <v>400</v>
      </c>
      <c r="AQ83" s="219" t="s">
        <v>887</v>
      </c>
      <c r="AR83" s="219" t="s">
        <v>886</v>
      </c>
      <c r="AS83" s="219" t="s">
        <v>836</v>
      </c>
      <c r="AT83" s="219" t="s">
        <v>202</v>
      </c>
      <c r="AU83" s="219">
        <v>2019</v>
      </c>
      <c r="AV83" s="219" t="s">
        <v>198</v>
      </c>
    </row>
    <row r="84" spans="3:48" x14ac:dyDescent="0.2">
      <c r="C84" s="234" t="s">
        <v>14</v>
      </c>
      <c r="N84" s="201" t="s">
        <v>640</v>
      </c>
      <c r="O84" s="203">
        <v>2341000</v>
      </c>
      <c r="AM84" s="219" t="s">
        <v>950</v>
      </c>
      <c r="AN84" s="219" t="s">
        <v>683</v>
      </c>
      <c r="AO84" s="219" t="s">
        <v>840</v>
      </c>
      <c r="AP84" s="340" t="s">
        <v>401</v>
      </c>
      <c r="AQ84" s="219" t="s">
        <v>843</v>
      </c>
      <c r="AR84" s="219" t="s">
        <v>955</v>
      </c>
      <c r="AS84" s="219" t="s">
        <v>847</v>
      </c>
      <c r="AT84" s="219">
        <v>0</v>
      </c>
      <c r="AU84" s="219" t="s">
        <v>3</v>
      </c>
      <c r="AV84" s="219">
        <v>10</v>
      </c>
    </row>
    <row r="85" spans="3:48" x14ac:dyDescent="0.2">
      <c r="C85" s="234" t="s">
        <v>15</v>
      </c>
      <c r="N85" s="200" t="s">
        <v>78</v>
      </c>
      <c r="O85" s="203"/>
      <c r="AM85" s="219" t="s">
        <v>951</v>
      </c>
      <c r="AN85" s="219" t="s">
        <v>683</v>
      </c>
      <c r="AO85" s="219" t="s">
        <v>840</v>
      </c>
      <c r="AP85" s="340" t="s">
        <v>402</v>
      </c>
      <c r="AQ85" s="219" t="s">
        <v>843</v>
      </c>
      <c r="AR85" s="219" t="s">
        <v>956</v>
      </c>
      <c r="AS85" s="219" t="s">
        <v>847</v>
      </c>
      <c r="AT85" s="219">
        <v>0</v>
      </c>
      <c r="AU85" s="219" t="s">
        <v>3</v>
      </c>
      <c r="AV85" s="219">
        <v>10</v>
      </c>
    </row>
    <row r="86" spans="3:48" x14ac:dyDescent="0.2">
      <c r="C86" s="234" t="s">
        <v>16</v>
      </c>
      <c r="N86" s="201" t="s">
        <v>641</v>
      </c>
      <c r="O86" s="203">
        <v>2501000</v>
      </c>
      <c r="AM86" s="219" t="s">
        <v>952</v>
      </c>
      <c r="AN86" s="219" t="s">
        <v>683</v>
      </c>
      <c r="AO86" s="219" t="s">
        <v>840</v>
      </c>
      <c r="AP86" s="340" t="s">
        <v>403</v>
      </c>
      <c r="AQ86" s="219" t="s">
        <v>843</v>
      </c>
      <c r="AR86" s="219" t="s">
        <v>957</v>
      </c>
      <c r="AS86" s="219" t="s">
        <v>847</v>
      </c>
      <c r="AT86" s="219">
        <v>0</v>
      </c>
      <c r="AU86" s="219" t="s">
        <v>3</v>
      </c>
      <c r="AV86" s="219">
        <v>25</v>
      </c>
    </row>
    <row r="87" spans="3:48" x14ac:dyDescent="0.2">
      <c r="C87" s="234" t="s">
        <v>17</v>
      </c>
      <c r="N87" s="201" t="s">
        <v>642</v>
      </c>
      <c r="O87" s="203">
        <v>3218200</v>
      </c>
      <c r="AM87" s="219" t="s">
        <v>953</v>
      </c>
      <c r="AN87" s="219" t="s">
        <v>683</v>
      </c>
      <c r="AO87" s="219" t="s">
        <v>840</v>
      </c>
      <c r="AP87" s="340" t="s">
        <v>404</v>
      </c>
      <c r="AQ87" s="219" t="s">
        <v>843</v>
      </c>
      <c r="AR87" s="219" t="s">
        <v>957</v>
      </c>
      <c r="AS87" s="219" t="s">
        <v>847</v>
      </c>
      <c r="AT87" s="219">
        <v>0</v>
      </c>
      <c r="AU87" s="219" t="s">
        <v>3</v>
      </c>
      <c r="AV87" s="219">
        <v>79</v>
      </c>
    </row>
    <row r="88" spans="3:48" x14ac:dyDescent="0.2">
      <c r="C88" s="234" t="s">
        <v>18</v>
      </c>
      <c r="N88" s="201" t="s">
        <v>643</v>
      </c>
      <c r="O88" s="203">
        <v>3218201</v>
      </c>
      <c r="AM88" s="219" t="s">
        <v>954</v>
      </c>
      <c r="AN88" s="219" t="s">
        <v>683</v>
      </c>
      <c r="AO88" s="219" t="s">
        <v>840</v>
      </c>
      <c r="AP88" s="340" t="s">
        <v>405</v>
      </c>
      <c r="AQ88" s="219" t="s">
        <v>843</v>
      </c>
      <c r="AR88" s="219" t="s">
        <v>958</v>
      </c>
      <c r="AS88" s="219" t="s">
        <v>847</v>
      </c>
      <c r="AT88" s="219">
        <v>0</v>
      </c>
      <c r="AU88" s="219" t="s">
        <v>3</v>
      </c>
      <c r="AV88" s="219">
        <v>4</v>
      </c>
    </row>
    <row r="89" spans="3:48" x14ac:dyDescent="0.2">
      <c r="N89" s="201" t="s">
        <v>644</v>
      </c>
      <c r="O89" s="203">
        <v>3218202</v>
      </c>
      <c r="AM89" s="233" t="s">
        <v>233</v>
      </c>
      <c r="AP89" s="340" t="s">
        <v>346</v>
      </c>
    </row>
    <row r="90" spans="3:48" x14ac:dyDescent="0.2">
      <c r="N90" s="201" t="s">
        <v>645</v>
      </c>
      <c r="O90" s="203">
        <v>3218203</v>
      </c>
      <c r="AM90" s="219" t="s">
        <v>959</v>
      </c>
      <c r="AN90" s="219" t="s">
        <v>682</v>
      </c>
      <c r="AO90" s="219" t="s">
        <v>833</v>
      </c>
      <c r="AP90" s="340" t="s">
        <v>406</v>
      </c>
      <c r="AQ90" s="219" t="s">
        <v>843</v>
      </c>
      <c r="AR90" s="219" t="s">
        <v>955</v>
      </c>
      <c r="AS90" s="219" t="s">
        <v>836</v>
      </c>
      <c r="AT90" s="219">
        <v>0</v>
      </c>
      <c r="AU90" s="219">
        <v>2017</v>
      </c>
      <c r="AV90" s="219">
        <v>700</v>
      </c>
    </row>
    <row r="91" spans="3:48" x14ac:dyDescent="0.2">
      <c r="N91" s="200" t="s">
        <v>143</v>
      </c>
      <c r="AM91" s="219" t="s">
        <v>960</v>
      </c>
      <c r="AN91" s="219" t="s">
        <v>682</v>
      </c>
      <c r="AO91" s="219" t="s">
        <v>833</v>
      </c>
      <c r="AP91" s="340" t="s">
        <v>407</v>
      </c>
      <c r="AQ91" s="219" t="s">
        <v>887</v>
      </c>
      <c r="AR91" s="219" t="s">
        <v>955</v>
      </c>
      <c r="AS91" s="219" t="s">
        <v>836</v>
      </c>
      <c r="AT91" s="219" t="s">
        <v>190</v>
      </c>
      <c r="AU91" s="219" t="s">
        <v>3</v>
      </c>
      <c r="AV91" s="219" t="s">
        <v>199</v>
      </c>
    </row>
    <row r="92" spans="3:48" x14ac:dyDescent="0.2">
      <c r="N92" s="201" t="s">
        <v>646</v>
      </c>
      <c r="O92" s="203">
        <v>4101000</v>
      </c>
      <c r="AM92" s="219" t="s">
        <v>961</v>
      </c>
      <c r="AN92" s="219" t="s">
        <v>683</v>
      </c>
      <c r="AO92" s="219" t="s">
        <v>840</v>
      </c>
      <c r="AP92" s="340" t="s">
        <v>408</v>
      </c>
      <c r="AQ92" s="219" t="s">
        <v>843</v>
      </c>
      <c r="AR92" s="219" t="s">
        <v>971</v>
      </c>
      <c r="AS92" s="219" t="s">
        <v>847</v>
      </c>
      <c r="AT92" s="219">
        <v>0</v>
      </c>
      <c r="AU92" s="219" t="s">
        <v>3</v>
      </c>
      <c r="AV92" s="219">
        <v>10</v>
      </c>
    </row>
    <row r="93" spans="3:48" x14ac:dyDescent="0.2">
      <c r="N93" s="201" t="s">
        <v>647</v>
      </c>
      <c r="O93" s="203">
        <v>4101001</v>
      </c>
      <c r="AM93" s="219" t="s">
        <v>962</v>
      </c>
      <c r="AN93" s="219" t="s">
        <v>683</v>
      </c>
      <c r="AO93" s="219" t="s">
        <v>840</v>
      </c>
      <c r="AP93" s="340" t="s">
        <v>409</v>
      </c>
      <c r="AQ93" s="219" t="s">
        <v>843</v>
      </c>
      <c r="AR93" s="219" t="s">
        <v>972</v>
      </c>
      <c r="AS93" s="219" t="s">
        <v>847</v>
      </c>
      <c r="AT93" s="219">
        <v>0</v>
      </c>
      <c r="AU93" s="219" t="s">
        <v>3</v>
      </c>
      <c r="AV93" s="219">
        <v>35</v>
      </c>
    </row>
    <row r="94" spans="3:48" x14ac:dyDescent="0.2">
      <c r="N94" s="201" t="s">
        <v>648</v>
      </c>
      <c r="O94" s="203">
        <v>4101002</v>
      </c>
      <c r="AM94" s="219" t="s">
        <v>963</v>
      </c>
      <c r="AN94" s="219" t="s">
        <v>683</v>
      </c>
      <c r="AO94" s="219" t="s">
        <v>840</v>
      </c>
      <c r="AP94" s="340" t="s">
        <v>410</v>
      </c>
      <c r="AQ94" s="219" t="s">
        <v>843</v>
      </c>
      <c r="AR94" s="219" t="s">
        <v>972</v>
      </c>
      <c r="AS94" s="219" t="s">
        <v>847</v>
      </c>
      <c r="AT94" s="219">
        <v>0</v>
      </c>
      <c r="AU94" s="219" t="s">
        <v>3</v>
      </c>
      <c r="AV94" s="219">
        <v>200</v>
      </c>
    </row>
    <row r="95" spans="3:48" x14ac:dyDescent="0.2">
      <c r="N95" s="201" t="s">
        <v>649</v>
      </c>
      <c r="O95" s="203">
        <v>4101003</v>
      </c>
      <c r="AM95" s="219" t="s">
        <v>964</v>
      </c>
      <c r="AN95" s="219" t="s">
        <v>683</v>
      </c>
      <c r="AO95" s="219" t="s">
        <v>840</v>
      </c>
      <c r="AP95" s="340" t="s">
        <v>411</v>
      </c>
      <c r="AQ95" s="219" t="s">
        <v>843</v>
      </c>
      <c r="AR95" s="219" t="s">
        <v>972</v>
      </c>
      <c r="AS95" s="219" t="s">
        <v>847</v>
      </c>
      <c r="AT95" s="219">
        <v>0</v>
      </c>
      <c r="AU95" s="219" t="s">
        <v>3</v>
      </c>
      <c r="AV95" s="219">
        <v>43</v>
      </c>
    </row>
    <row r="96" spans="3:48" x14ac:dyDescent="0.2">
      <c r="N96" s="201" t="s">
        <v>650</v>
      </c>
      <c r="O96" s="203">
        <v>4101004</v>
      </c>
      <c r="AM96" s="219" t="s">
        <v>965</v>
      </c>
      <c r="AN96" s="219" t="s">
        <v>683</v>
      </c>
      <c r="AO96" s="219" t="s">
        <v>840</v>
      </c>
      <c r="AP96" s="340" t="s">
        <v>412</v>
      </c>
      <c r="AQ96" s="219" t="s">
        <v>843</v>
      </c>
      <c r="AR96" s="219" t="s">
        <v>955</v>
      </c>
      <c r="AS96" s="219" t="s">
        <v>847</v>
      </c>
      <c r="AT96" s="219">
        <v>0</v>
      </c>
      <c r="AU96" s="219" t="s">
        <v>3</v>
      </c>
      <c r="AV96" s="219">
        <v>15</v>
      </c>
    </row>
    <row r="97" spans="14:48" x14ac:dyDescent="0.2">
      <c r="N97" s="201" t="s">
        <v>651</v>
      </c>
      <c r="O97" s="203">
        <v>4101005</v>
      </c>
      <c r="AM97" s="219" t="s">
        <v>966</v>
      </c>
      <c r="AN97" s="219" t="s">
        <v>683</v>
      </c>
      <c r="AO97" s="219" t="s">
        <v>840</v>
      </c>
      <c r="AP97" s="340" t="s">
        <v>413</v>
      </c>
      <c r="AQ97" s="219" t="s">
        <v>843</v>
      </c>
      <c r="AR97" s="219" t="s">
        <v>955</v>
      </c>
      <c r="AS97" s="219" t="s">
        <v>847</v>
      </c>
      <c r="AT97" s="219">
        <v>0</v>
      </c>
      <c r="AU97" s="219" t="s">
        <v>3</v>
      </c>
      <c r="AV97" s="219">
        <v>50</v>
      </c>
    </row>
    <row r="98" spans="14:48" x14ac:dyDescent="0.2">
      <c r="N98" s="201" t="s">
        <v>652</v>
      </c>
      <c r="O98" s="203">
        <v>4101006</v>
      </c>
      <c r="AM98" s="219" t="s">
        <v>967</v>
      </c>
      <c r="AN98" s="219" t="s">
        <v>683</v>
      </c>
      <c r="AO98" s="219" t="s">
        <v>840</v>
      </c>
      <c r="AP98" s="340" t="s">
        <v>414</v>
      </c>
      <c r="AQ98" s="219" t="s">
        <v>843</v>
      </c>
      <c r="AR98" s="219" t="s">
        <v>955</v>
      </c>
      <c r="AS98" s="219" t="s">
        <v>847</v>
      </c>
      <c r="AT98" s="219">
        <v>0</v>
      </c>
      <c r="AU98" s="219" t="s">
        <v>3</v>
      </c>
      <c r="AV98" s="219">
        <v>43</v>
      </c>
    </row>
    <row r="99" spans="14:48" x14ac:dyDescent="0.2">
      <c r="N99" s="201" t="s">
        <v>653</v>
      </c>
      <c r="O99" s="203">
        <v>4102001</v>
      </c>
      <c r="AM99" s="219" t="s">
        <v>968</v>
      </c>
      <c r="AN99" s="219" t="s">
        <v>683</v>
      </c>
      <c r="AO99" s="219" t="s">
        <v>840</v>
      </c>
      <c r="AP99" s="340" t="s">
        <v>415</v>
      </c>
      <c r="AQ99" s="219" t="s">
        <v>843</v>
      </c>
      <c r="AR99" s="219" t="s">
        <v>972</v>
      </c>
      <c r="AS99" s="219" t="s">
        <v>847</v>
      </c>
      <c r="AT99" s="219">
        <v>0</v>
      </c>
      <c r="AU99" s="219" t="s">
        <v>3</v>
      </c>
      <c r="AV99" s="219">
        <v>2</v>
      </c>
    </row>
    <row r="100" spans="14:48" x14ac:dyDescent="0.2">
      <c r="N100" s="201" t="s">
        <v>654</v>
      </c>
      <c r="O100" s="203">
        <v>4102004</v>
      </c>
      <c r="AM100" s="219" t="s">
        <v>969</v>
      </c>
      <c r="AN100" s="219" t="s">
        <v>683</v>
      </c>
      <c r="AO100" s="219" t="s">
        <v>840</v>
      </c>
      <c r="AP100" s="340" t="s">
        <v>416</v>
      </c>
      <c r="AQ100" s="219" t="s">
        <v>843</v>
      </c>
      <c r="AR100" s="219" t="s">
        <v>972</v>
      </c>
      <c r="AS100" s="219" t="s">
        <v>847</v>
      </c>
      <c r="AT100" s="219">
        <v>0</v>
      </c>
      <c r="AU100" s="219" t="s">
        <v>3</v>
      </c>
      <c r="AV100" s="219">
        <v>1</v>
      </c>
    </row>
    <row r="101" spans="14:48" x14ac:dyDescent="0.2">
      <c r="N101" s="201" t="s">
        <v>655</v>
      </c>
      <c r="O101" s="203">
        <v>4102005</v>
      </c>
      <c r="AM101" s="219" t="s">
        <v>970</v>
      </c>
      <c r="AN101" s="219" t="s">
        <v>683</v>
      </c>
      <c r="AO101" s="219" t="s">
        <v>840</v>
      </c>
      <c r="AP101" s="340" t="s">
        <v>417</v>
      </c>
      <c r="AQ101" s="219" t="s">
        <v>843</v>
      </c>
      <c r="AR101" s="219" t="s">
        <v>972</v>
      </c>
      <c r="AS101" s="219" t="s">
        <v>847</v>
      </c>
      <c r="AT101" s="219">
        <v>0</v>
      </c>
      <c r="AU101" s="219" t="s">
        <v>3</v>
      </c>
      <c r="AV101" s="219">
        <v>2</v>
      </c>
    </row>
    <row r="102" spans="14:48" x14ac:dyDescent="0.2">
      <c r="N102" s="201" t="s">
        <v>656</v>
      </c>
      <c r="O102" s="203">
        <v>4102006</v>
      </c>
      <c r="AM102" s="233" t="s">
        <v>234</v>
      </c>
      <c r="AP102" s="340" t="s">
        <v>346</v>
      </c>
    </row>
    <row r="103" spans="14:48" x14ac:dyDescent="0.2">
      <c r="N103" s="201" t="s">
        <v>657</v>
      </c>
      <c r="O103" s="203">
        <v>4102007</v>
      </c>
      <c r="AM103" s="219" t="s">
        <v>973</v>
      </c>
      <c r="AN103" s="219" t="s">
        <v>682</v>
      </c>
      <c r="AO103" s="219" t="s">
        <v>833</v>
      </c>
      <c r="AP103" s="340" t="s">
        <v>418</v>
      </c>
      <c r="AQ103" s="219" t="s">
        <v>834</v>
      </c>
      <c r="AR103" s="219" t="s">
        <v>983</v>
      </c>
      <c r="AS103" s="219" t="s">
        <v>836</v>
      </c>
      <c r="AT103" s="219">
        <v>708</v>
      </c>
      <c r="AU103" s="219">
        <v>2017</v>
      </c>
      <c r="AV103" s="219">
        <v>800</v>
      </c>
    </row>
    <row r="104" spans="14:48" x14ac:dyDescent="0.2">
      <c r="N104" s="201" t="s">
        <v>658</v>
      </c>
      <c r="O104" s="203">
        <v>4103000</v>
      </c>
      <c r="AM104" s="219" t="s">
        <v>974</v>
      </c>
      <c r="AN104" s="219" t="s">
        <v>682</v>
      </c>
      <c r="AO104" s="219" t="s">
        <v>833</v>
      </c>
      <c r="AP104" s="340" t="s">
        <v>419</v>
      </c>
      <c r="AQ104" s="219" t="s">
        <v>931</v>
      </c>
      <c r="AR104" s="219" t="s">
        <v>886</v>
      </c>
      <c r="AS104" s="219" t="s">
        <v>985</v>
      </c>
      <c r="AT104" s="219" t="s">
        <v>190</v>
      </c>
      <c r="AU104" s="219">
        <v>2019</v>
      </c>
      <c r="AV104" s="219" t="s">
        <v>200</v>
      </c>
    </row>
    <row r="105" spans="14:48" x14ac:dyDescent="0.2">
      <c r="N105" s="201" t="s">
        <v>659</v>
      </c>
      <c r="O105" s="203">
        <v>4103001</v>
      </c>
      <c r="AM105" s="219" t="s">
        <v>975</v>
      </c>
      <c r="AN105" s="219" t="s">
        <v>683</v>
      </c>
      <c r="AO105" s="219" t="s">
        <v>840</v>
      </c>
      <c r="AP105" s="340" t="s">
        <v>420</v>
      </c>
      <c r="AQ105" s="219" t="s">
        <v>843</v>
      </c>
      <c r="AR105" s="219" t="s">
        <v>986</v>
      </c>
      <c r="AS105" s="219" t="s">
        <v>847</v>
      </c>
      <c r="AT105" s="219">
        <v>0</v>
      </c>
      <c r="AU105" s="219" t="s">
        <v>3</v>
      </c>
      <c r="AV105" s="219">
        <v>7</v>
      </c>
    </row>
    <row r="106" spans="14:48" x14ac:dyDescent="0.2">
      <c r="N106" s="201" t="s">
        <v>660</v>
      </c>
      <c r="O106" s="203">
        <v>4105000</v>
      </c>
      <c r="AM106" s="219" t="s">
        <v>976</v>
      </c>
      <c r="AN106" s="219" t="s">
        <v>683</v>
      </c>
      <c r="AO106" s="219" t="s">
        <v>840</v>
      </c>
      <c r="AP106" s="340" t="s">
        <v>421</v>
      </c>
      <c r="AQ106" s="219" t="s">
        <v>903</v>
      </c>
      <c r="AR106" s="219" t="s">
        <v>987</v>
      </c>
      <c r="AS106" s="219" t="s">
        <v>847</v>
      </c>
      <c r="AT106" s="219" t="s">
        <v>723</v>
      </c>
      <c r="AU106" s="219" t="s">
        <v>3</v>
      </c>
      <c r="AV106" s="219" t="s">
        <v>724</v>
      </c>
    </row>
    <row r="107" spans="14:48" x14ac:dyDescent="0.2">
      <c r="N107" s="201" t="s">
        <v>661</v>
      </c>
      <c r="O107" s="203">
        <v>4105801</v>
      </c>
      <c r="AM107" s="219" t="s">
        <v>977</v>
      </c>
      <c r="AN107" s="219" t="s">
        <v>683</v>
      </c>
      <c r="AO107" s="219" t="s">
        <v>840</v>
      </c>
      <c r="AP107" s="340" t="s">
        <v>422</v>
      </c>
      <c r="AQ107" s="219" t="s">
        <v>843</v>
      </c>
      <c r="AR107" s="219" t="s">
        <v>988</v>
      </c>
      <c r="AS107" s="219" t="s">
        <v>847</v>
      </c>
      <c r="AT107" s="219">
        <v>0</v>
      </c>
      <c r="AU107" s="219" t="s">
        <v>3</v>
      </c>
      <c r="AV107" s="219">
        <v>1</v>
      </c>
    </row>
    <row r="108" spans="14:48" x14ac:dyDescent="0.2">
      <c r="N108" s="201" t="s">
        <v>662</v>
      </c>
      <c r="O108" s="203">
        <v>4108100</v>
      </c>
      <c r="AM108" s="219" t="s">
        <v>978</v>
      </c>
      <c r="AN108" s="219" t="s">
        <v>683</v>
      </c>
      <c r="AO108" s="219" t="s">
        <v>840</v>
      </c>
      <c r="AP108" s="340" t="s">
        <v>423</v>
      </c>
      <c r="AQ108" s="219" t="s">
        <v>843</v>
      </c>
      <c r="AR108" s="219" t="s">
        <v>918</v>
      </c>
      <c r="AS108" s="219" t="s">
        <v>847</v>
      </c>
      <c r="AT108" s="219">
        <v>0</v>
      </c>
      <c r="AU108" s="219" t="s">
        <v>3</v>
      </c>
      <c r="AV108" s="219">
        <v>47</v>
      </c>
    </row>
    <row r="109" spans="14:48" x14ac:dyDescent="0.2">
      <c r="N109" s="200" t="s">
        <v>144</v>
      </c>
      <c r="AM109" s="219" t="s">
        <v>979</v>
      </c>
      <c r="AN109" s="219" t="s">
        <v>683</v>
      </c>
      <c r="AO109" s="219" t="s">
        <v>840</v>
      </c>
      <c r="AP109" s="340" t="s">
        <v>424</v>
      </c>
      <c r="AQ109" s="219" t="s">
        <v>843</v>
      </c>
      <c r="AR109" s="219" t="s">
        <v>989</v>
      </c>
      <c r="AS109" s="219" t="s">
        <v>847</v>
      </c>
      <c r="AT109" s="219">
        <v>0</v>
      </c>
      <c r="AU109" s="219" t="s">
        <v>3</v>
      </c>
      <c r="AV109" s="219">
        <v>270</v>
      </c>
    </row>
    <row r="110" spans="14:48" x14ac:dyDescent="0.2">
      <c r="N110" s="201" t="s">
        <v>663</v>
      </c>
      <c r="O110" s="203">
        <v>1118200</v>
      </c>
      <c r="AM110" s="219" t="s">
        <v>980</v>
      </c>
      <c r="AN110" s="219" t="s">
        <v>683</v>
      </c>
      <c r="AO110" s="219" t="s">
        <v>840</v>
      </c>
      <c r="AP110" s="340" t="s">
        <v>425</v>
      </c>
      <c r="AQ110" s="219" t="s">
        <v>843</v>
      </c>
      <c r="AR110" s="219" t="s">
        <v>990</v>
      </c>
      <c r="AS110" s="219" t="s">
        <v>847</v>
      </c>
      <c r="AT110" s="219">
        <v>0</v>
      </c>
      <c r="AU110" s="219" t="s">
        <v>3</v>
      </c>
      <c r="AV110" s="219">
        <v>1</v>
      </c>
    </row>
    <row r="111" spans="14:48" x14ac:dyDescent="0.2">
      <c r="N111" s="201" t="s">
        <v>664</v>
      </c>
      <c r="O111" s="203">
        <v>1218200</v>
      </c>
      <c r="AM111" s="219" t="s">
        <v>981</v>
      </c>
      <c r="AN111" s="219" t="s">
        <v>683</v>
      </c>
      <c r="AO111" s="219" t="s">
        <v>840</v>
      </c>
      <c r="AP111" s="340" t="s">
        <v>426</v>
      </c>
      <c r="AQ111" s="219" t="s">
        <v>843</v>
      </c>
      <c r="AR111" s="219" t="s">
        <v>991</v>
      </c>
      <c r="AS111" s="219" t="s">
        <v>847</v>
      </c>
      <c r="AT111" s="219">
        <v>0</v>
      </c>
      <c r="AU111" s="219" t="s">
        <v>3</v>
      </c>
      <c r="AV111" s="219">
        <v>10</v>
      </c>
    </row>
    <row r="112" spans="14:48" x14ac:dyDescent="0.2">
      <c r="N112" s="201" t="s">
        <v>665</v>
      </c>
      <c r="O112" s="203">
        <v>2318200</v>
      </c>
      <c r="AM112" s="219" t="s">
        <v>982</v>
      </c>
      <c r="AN112" s="219" t="s">
        <v>683</v>
      </c>
      <c r="AO112" s="219" t="s">
        <v>840</v>
      </c>
      <c r="AP112" s="340" t="s">
        <v>427</v>
      </c>
      <c r="AQ112" s="219" t="s">
        <v>843</v>
      </c>
      <c r="AR112" s="219" t="s">
        <v>991</v>
      </c>
      <c r="AS112" s="219" t="s">
        <v>847</v>
      </c>
      <c r="AT112" s="219">
        <v>0</v>
      </c>
      <c r="AU112" s="219" t="s">
        <v>3</v>
      </c>
      <c r="AV112" s="219">
        <v>8</v>
      </c>
    </row>
    <row r="113" spans="14:48" x14ac:dyDescent="0.2">
      <c r="N113" s="201" t="s">
        <v>666</v>
      </c>
      <c r="O113" s="203">
        <v>3118200</v>
      </c>
      <c r="AM113" s="233" t="s">
        <v>461</v>
      </c>
      <c r="AP113" s="340" t="s">
        <v>346</v>
      </c>
    </row>
    <row r="114" spans="14:48" x14ac:dyDescent="0.2">
      <c r="N114" s="201" t="s">
        <v>667</v>
      </c>
      <c r="O114" s="203">
        <v>3128200</v>
      </c>
      <c r="AM114" s="219" t="s">
        <v>992</v>
      </c>
      <c r="AN114" s="219" t="s">
        <v>682</v>
      </c>
      <c r="AO114" s="219" t="s">
        <v>833</v>
      </c>
      <c r="AP114" s="340" t="s">
        <v>428</v>
      </c>
      <c r="AQ114" s="219" t="s">
        <v>885</v>
      </c>
      <c r="AR114" s="219" t="s">
        <v>886</v>
      </c>
      <c r="AS114" s="219" t="s">
        <v>836</v>
      </c>
      <c r="AT114" s="219" t="s">
        <v>190</v>
      </c>
      <c r="AU114" s="219">
        <v>2018</v>
      </c>
      <c r="AV114" s="219" t="s">
        <v>889</v>
      </c>
    </row>
    <row r="115" spans="14:48" x14ac:dyDescent="0.2">
      <c r="N115" s="201" t="s">
        <v>668</v>
      </c>
      <c r="O115" s="203">
        <v>3138200</v>
      </c>
      <c r="AM115" s="219" t="s">
        <v>941</v>
      </c>
      <c r="AN115" s="219" t="s">
        <v>682</v>
      </c>
      <c r="AO115" s="219" t="s">
        <v>833</v>
      </c>
      <c r="AP115" s="340" t="s">
        <v>429</v>
      </c>
      <c r="AQ115" s="219" t="s">
        <v>885</v>
      </c>
      <c r="AR115" s="219" t="s">
        <v>886</v>
      </c>
      <c r="AS115" s="219" t="s">
        <v>836</v>
      </c>
      <c r="AT115" s="219" t="s">
        <v>203</v>
      </c>
      <c r="AU115" s="219">
        <v>2018</v>
      </c>
      <c r="AV115" s="219" t="s">
        <v>889</v>
      </c>
    </row>
    <row r="116" spans="14:48" x14ac:dyDescent="0.2">
      <c r="N116" s="201" t="s">
        <v>669</v>
      </c>
      <c r="O116" s="203">
        <v>4108200</v>
      </c>
      <c r="AM116" s="219" t="s">
        <v>993</v>
      </c>
      <c r="AN116" s="219" t="s">
        <v>683</v>
      </c>
      <c r="AO116" s="219" t="s">
        <v>840</v>
      </c>
      <c r="AP116" s="340" t="s">
        <v>507</v>
      </c>
      <c r="AQ116" s="219" t="s">
        <v>843</v>
      </c>
      <c r="AR116" s="219" t="s">
        <v>955</v>
      </c>
      <c r="AS116" s="219" t="s">
        <v>836</v>
      </c>
      <c r="AT116" s="219">
        <v>1</v>
      </c>
      <c r="AU116" s="219">
        <v>2017</v>
      </c>
      <c r="AV116" s="219">
        <v>3</v>
      </c>
    </row>
    <row r="117" spans="14:48" x14ac:dyDescent="0.2">
      <c r="N117" s="201" t="s">
        <v>670</v>
      </c>
      <c r="O117" s="203">
        <v>4308200</v>
      </c>
      <c r="AM117" s="219" t="s">
        <v>994</v>
      </c>
      <c r="AN117" s="219" t="s">
        <v>683</v>
      </c>
      <c r="AO117" s="219" t="s">
        <v>840</v>
      </c>
      <c r="AP117" s="340" t="s">
        <v>508</v>
      </c>
      <c r="AQ117" s="219" t="s">
        <v>887</v>
      </c>
      <c r="AR117" s="219" t="s">
        <v>886</v>
      </c>
      <c r="AS117" s="219" t="s">
        <v>836</v>
      </c>
      <c r="AT117" s="219" t="s">
        <v>3</v>
      </c>
      <c r="AU117" s="219" t="s">
        <v>3</v>
      </c>
      <c r="AV117" s="219" t="s">
        <v>201</v>
      </c>
    </row>
    <row r="118" spans="14:48" x14ac:dyDescent="0.2">
      <c r="N118" s="201" t="s">
        <v>671</v>
      </c>
      <c r="O118" s="203">
        <v>4308201</v>
      </c>
      <c r="AM118" s="219" t="s">
        <v>995</v>
      </c>
      <c r="AN118" s="219" t="s">
        <v>683</v>
      </c>
      <c r="AO118" s="219" t="s">
        <v>840</v>
      </c>
      <c r="AP118" s="340" t="s">
        <v>430</v>
      </c>
      <c r="AQ118" s="219" t="s">
        <v>843</v>
      </c>
      <c r="AR118" s="219" t="s">
        <v>1001</v>
      </c>
      <c r="AS118" s="219" t="s">
        <v>847</v>
      </c>
      <c r="AT118" s="219">
        <v>0</v>
      </c>
      <c r="AU118" s="219" t="s">
        <v>3</v>
      </c>
      <c r="AV118" s="219">
        <v>4</v>
      </c>
    </row>
    <row r="119" spans="14:48" x14ac:dyDescent="0.2">
      <c r="N119" s="201" t="s">
        <v>672</v>
      </c>
      <c r="O119" s="203">
        <v>4308202</v>
      </c>
      <c r="AM119" s="219" t="s">
        <v>996</v>
      </c>
      <c r="AN119" s="219" t="s">
        <v>683</v>
      </c>
      <c r="AO119" s="219" t="s">
        <v>840</v>
      </c>
      <c r="AP119" s="340" t="s">
        <v>431</v>
      </c>
      <c r="AQ119" s="219" t="s">
        <v>843</v>
      </c>
      <c r="AR119" s="219" t="s">
        <v>984</v>
      </c>
      <c r="AS119" s="219" t="s">
        <v>847</v>
      </c>
      <c r="AT119" s="219">
        <v>0</v>
      </c>
      <c r="AU119" s="219" t="s">
        <v>3</v>
      </c>
      <c r="AV119" s="219">
        <v>4</v>
      </c>
    </row>
    <row r="120" spans="14:48" x14ac:dyDescent="0.2">
      <c r="N120" s="201" t="s">
        <v>673</v>
      </c>
      <c r="O120" s="203">
        <v>4308203</v>
      </c>
      <c r="AM120" s="219" t="s">
        <v>997</v>
      </c>
      <c r="AN120" s="219" t="s">
        <v>683</v>
      </c>
      <c r="AO120" s="219" t="s">
        <v>840</v>
      </c>
      <c r="AP120" s="340" t="s">
        <v>432</v>
      </c>
      <c r="AQ120" s="219" t="s">
        <v>843</v>
      </c>
      <c r="AR120" s="219" t="s">
        <v>984</v>
      </c>
      <c r="AS120" s="219" t="s">
        <v>847</v>
      </c>
      <c r="AT120" s="219">
        <v>0</v>
      </c>
      <c r="AU120" s="219" t="s">
        <v>3</v>
      </c>
      <c r="AV120" s="219">
        <v>4</v>
      </c>
    </row>
    <row r="121" spans="14:48" x14ac:dyDescent="0.2">
      <c r="N121" s="201" t="s">
        <v>674</v>
      </c>
      <c r="O121" s="203">
        <v>4308204</v>
      </c>
      <c r="AM121" s="219" t="s">
        <v>998</v>
      </c>
      <c r="AN121" s="219" t="s">
        <v>683</v>
      </c>
      <c r="AO121" s="219" t="s">
        <v>840</v>
      </c>
      <c r="AP121" s="340" t="s">
        <v>433</v>
      </c>
      <c r="AQ121" s="219" t="s">
        <v>843</v>
      </c>
      <c r="AR121" s="219" t="s">
        <v>984</v>
      </c>
      <c r="AS121" s="219" t="s">
        <v>847</v>
      </c>
      <c r="AT121" s="219">
        <v>0</v>
      </c>
      <c r="AU121" s="219" t="s">
        <v>3</v>
      </c>
      <c r="AV121" s="219">
        <v>2</v>
      </c>
    </row>
    <row r="122" spans="14:48" x14ac:dyDescent="0.2">
      <c r="N122" s="201" t="s">
        <v>675</v>
      </c>
      <c r="O122" s="203">
        <v>4308205</v>
      </c>
      <c r="AM122" s="219" t="s">
        <v>999</v>
      </c>
      <c r="AN122" s="219" t="s">
        <v>683</v>
      </c>
      <c r="AO122" s="219" t="s">
        <v>840</v>
      </c>
      <c r="AP122" s="340" t="s">
        <v>434</v>
      </c>
      <c r="AQ122" s="219" t="s">
        <v>843</v>
      </c>
      <c r="AR122" s="219" t="s">
        <v>984</v>
      </c>
      <c r="AS122" s="219" t="s">
        <v>847</v>
      </c>
      <c r="AT122" s="219">
        <v>0</v>
      </c>
      <c r="AU122" s="219" t="s">
        <v>3</v>
      </c>
      <c r="AV122" s="219">
        <v>2</v>
      </c>
    </row>
    <row r="123" spans="14:48" x14ac:dyDescent="0.2">
      <c r="N123" s="201" t="s">
        <v>665</v>
      </c>
      <c r="O123" s="203">
        <v>4308206</v>
      </c>
      <c r="AM123" s="219" t="s">
        <v>1000</v>
      </c>
      <c r="AN123" s="219" t="s">
        <v>683</v>
      </c>
      <c r="AO123" s="219" t="s">
        <v>840</v>
      </c>
      <c r="AP123" s="340" t="s">
        <v>435</v>
      </c>
      <c r="AQ123" s="219" t="s">
        <v>843</v>
      </c>
      <c r="AR123" s="219" t="s">
        <v>918</v>
      </c>
      <c r="AS123" s="219" t="s">
        <v>847</v>
      </c>
      <c r="AT123" s="219">
        <v>0</v>
      </c>
      <c r="AU123" s="219" t="s">
        <v>3</v>
      </c>
      <c r="AV123" s="219">
        <v>2</v>
      </c>
    </row>
    <row r="124" spans="14:48" x14ac:dyDescent="0.2">
      <c r="N124" s="201" t="s">
        <v>676</v>
      </c>
      <c r="O124" s="203">
        <v>4308208</v>
      </c>
      <c r="AM124" s="233" t="s">
        <v>1439</v>
      </c>
      <c r="AP124" s="454"/>
    </row>
    <row r="125" spans="14:48" x14ac:dyDescent="0.2">
      <c r="N125" s="201" t="s">
        <v>677</v>
      </c>
      <c r="O125" s="203">
        <v>1513300</v>
      </c>
      <c r="AM125" s="219" t="s">
        <v>1475</v>
      </c>
      <c r="AN125" s="219" t="s">
        <v>682</v>
      </c>
      <c r="AO125" s="219" t="s">
        <v>840</v>
      </c>
      <c r="AP125" s="454" t="s">
        <v>1440</v>
      </c>
      <c r="AQ125" s="219" t="s">
        <v>843</v>
      </c>
      <c r="AR125" s="219" t="s">
        <v>1483</v>
      </c>
      <c r="AS125" s="219" t="s">
        <v>836</v>
      </c>
      <c r="AT125" s="219">
        <v>0</v>
      </c>
      <c r="AU125" s="219" t="s">
        <v>1484</v>
      </c>
      <c r="AV125" s="219">
        <v>20</v>
      </c>
    </row>
    <row r="126" spans="14:48" x14ac:dyDescent="0.2">
      <c r="N126" s="200" t="s">
        <v>145</v>
      </c>
      <c r="O126" s="203"/>
      <c r="AM126" s="219" t="s">
        <v>1476</v>
      </c>
      <c r="AN126" s="219" t="s">
        <v>682</v>
      </c>
      <c r="AO126" s="219" t="s">
        <v>840</v>
      </c>
      <c r="AP126" s="454" t="s">
        <v>1441</v>
      </c>
      <c r="AQ126" s="219" t="s">
        <v>843</v>
      </c>
      <c r="AR126" s="219" t="s">
        <v>1485</v>
      </c>
      <c r="AS126" s="219" t="s">
        <v>836</v>
      </c>
      <c r="AT126" s="219">
        <v>0</v>
      </c>
      <c r="AU126" s="219" t="s">
        <v>1486</v>
      </c>
      <c r="AV126" s="219">
        <v>10</v>
      </c>
    </row>
    <row r="127" spans="14:48" x14ac:dyDescent="0.2">
      <c r="N127" s="201" t="s">
        <v>678</v>
      </c>
      <c r="O127" s="203">
        <v>9301001</v>
      </c>
      <c r="AM127" s="219" t="s">
        <v>1477</v>
      </c>
      <c r="AN127" s="219" t="s">
        <v>682</v>
      </c>
      <c r="AO127" s="219" t="s">
        <v>833</v>
      </c>
      <c r="AP127" s="454" t="s">
        <v>1442</v>
      </c>
      <c r="AQ127" s="219" t="s">
        <v>843</v>
      </c>
      <c r="AR127" s="219" t="s">
        <v>1487</v>
      </c>
      <c r="AS127" s="219" t="s">
        <v>847</v>
      </c>
      <c r="AT127" s="219">
        <v>0</v>
      </c>
      <c r="AU127" s="219" t="s">
        <v>1486</v>
      </c>
      <c r="AV127" s="455">
        <v>1500</v>
      </c>
    </row>
    <row r="128" spans="14:48" x14ac:dyDescent="0.2">
      <c r="AM128" s="219" t="s">
        <v>1478</v>
      </c>
      <c r="AN128" s="219" t="s">
        <v>683</v>
      </c>
      <c r="AO128" s="219" t="s">
        <v>840</v>
      </c>
      <c r="AP128" s="454" t="s">
        <v>1443</v>
      </c>
      <c r="AQ128" s="219" t="s">
        <v>843</v>
      </c>
      <c r="AR128" s="219" t="s">
        <v>1485</v>
      </c>
      <c r="AS128" s="219" t="s">
        <v>847</v>
      </c>
      <c r="AT128" s="219">
        <v>0</v>
      </c>
      <c r="AU128" s="219" t="s">
        <v>1486</v>
      </c>
      <c r="AV128" s="219">
        <v>10</v>
      </c>
    </row>
    <row r="129" spans="39:48" x14ac:dyDescent="0.2">
      <c r="AM129" s="219" t="s">
        <v>1479</v>
      </c>
      <c r="AN129" s="219" t="s">
        <v>683</v>
      </c>
      <c r="AO129" s="219" t="s">
        <v>840</v>
      </c>
      <c r="AP129" s="454" t="s">
        <v>1444</v>
      </c>
      <c r="AQ129" s="219" t="s">
        <v>843</v>
      </c>
      <c r="AR129" s="219" t="s">
        <v>1485</v>
      </c>
      <c r="AS129" s="219" t="s">
        <v>847</v>
      </c>
      <c r="AT129" s="219">
        <v>0</v>
      </c>
      <c r="AU129" s="219" t="s">
        <v>1486</v>
      </c>
      <c r="AV129" s="219">
        <v>30</v>
      </c>
    </row>
    <row r="130" spans="39:48" x14ac:dyDescent="0.2">
      <c r="AM130" s="219" t="s">
        <v>1480</v>
      </c>
      <c r="AN130" s="219" t="s">
        <v>683</v>
      </c>
      <c r="AO130" s="219" t="s">
        <v>840</v>
      </c>
      <c r="AP130" s="454" t="s">
        <v>1445</v>
      </c>
      <c r="AQ130" s="219" t="s">
        <v>843</v>
      </c>
      <c r="AR130" s="219" t="s">
        <v>1485</v>
      </c>
      <c r="AS130" s="219" t="s">
        <v>847</v>
      </c>
      <c r="AT130" s="219">
        <v>0</v>
      </c>
      <c r="AU130" s="219" t="s">
        <v>1486</v>
      </c>
      <c r="AV130" s="219">
        <v>10</v>
      </c>
    </row>
    <row r="131" spans="39:48" x14ac:dyDescent="0.2">
      <c r="AM131" s="219" t="s">
        <v>1481</v>
      </c>
      <c r="AN131" s="219" t="s">
        <v>683</v>
      </c>
      <c r="AO131" s="219" t="s">
        <v>840</v>
      </c>
      <c r="AP131" s="454" t="s">
        <v>1446</v>
      </c>
      <c r="AQ131" s="219" t="s">
        <v>843</v>
      </c>
      <c r="AR131" s="219" t="s">
        <v>1487</v>
      </c>
      <c r="AS131" s="219" t="s">
        <v>847</v>
      </c>
      <c r="AT131" s="219">
        <v>0</v>
      </c>
      <c r="AU131" s="219" t="s">
        <v>1486</v>
      </c>
      <c r="AV131" s="219">
        <v>20</v>
      </c>
    </row>
    <row r="132" spans="39:48" x14ac:dyDescent="0.2">
      <c r="AM132" s="219" t="s">
        <v>1482</v>
      </c>
      <c r="AN132" s="219" t="s">
        <v>683</v>
      </c>
      <c r="AO132" s="219" t="s">
        <v>840</v>
      </c>
      <c r="AP132" s="454" t="s">
        <v>1447</v>
      </c>
      <c r="AQ132" s="219" t="s">
        <v>1488</v>
      </c>
      <c r="AR132" s="219" t="s">
        <v>1487</v>
      </c>
      <c r="AS132" s="219" t="s">
        <v>836</v>
      </c>
      <c r="AT132" s="219">
        <v>0</v>
      </c>
      <c r="AU132" s="219" t="s">
        <v>1486</v>
      </c>
      <c r="AV132" s="219">
        <v>8</v>
      </c>
    </row>
    <row r="133" spans="39:48" x14ac:dyDescent="0.2">
      <c r="AM133" s="233" t="s">
        <v>1448</v>
      </c>
      <c r="AP133" s="454"/>
    </row>
    <row r="134" spans="39:48" x14ac:dyDescent="0.2">
      <c r="AM134" s="219" t="s">
        <v>1489</v>
      </c>
      <c r="AN134" s="219" t="s">
        <v>682</v>
      </c>
      <c r="AO134" s="219" t="s">
        <v>833</v>
      </c>
      <c r="AP134" s="454" t="s">
        <v>1449</v>
      </c>
      <c r="AQ134" s="219" t="s">
        <v>887</v>
      </c>
      <c r="AR134" s="219" t="s">
        <v>886</v>
      </c>
      <c r="AS134" s="219" t="s">
        <v>836</v>
      </c>
      <c r="AT134" s="219" t="s">
        <v>190</v>
      </c>
      <c r="AU134" s="219" t="s">
        <v>190</v>
      </c>
      <c r="AV134" s="219" t="s">
        <v>1500</v>
      </c>
    </row>
    <row r="135" spans="39:48" x14ac:dyDescent="0.2">
      <c r="AM135" s="219" t="s">
        <v>1490</v>
      </c>
      <c r="AN135" s="219" t="s">
        <v>682</v>
      </c>
      <c r="AO135" s="219" t="s">
        <v>833</v>
      </c>
      <c r="AP135" s="454" t="s">
        <v>1450</v>
      </c>
      <c r="AQ135" s="219" t="s">
        <v>843</v>
      </c>
      <c r="AR135" s="219" t="s">
        <v>1501</v>
      </c>
      <c r="AS135" s="219" t="s">
        <v>836</v>
      </c>
      <c r="AT135" s="219">
        <v>0</v>
      </c>
      <c r="AU135" s="219" t="s">
        <v>1486</v>
      </c>
      <c r="AV135" s="455">
        <v>3000</v>
      </c>
    </row>
    <row r="136" spans="39:48" x14ac:dyDescent="0.2">
      <c r="AM136" s="219" t="s">
        <v>1491</v>
      </c>
      <c r="AN136" s="219" t="s">
        <v>682</v>
      </c>
      <c r="AO136" s="219" t="s">
        <v>833</v>
      </c>
      <c r="AP136" s="454" t="s">
        <v>1451</v>
      </c>
      <c r="AQ136" s="219" t="s">
        <v>887</v>
      </c>
      <c r="AR136" s="219" t="s">
        <v>1487</v>
      </c>
      <c r="AS136" s="219" t="s">
        <v>836</v>
      </c>
      <c r="AT136" s="219" t="s">
        <v>1484</v>
      </c>
      <c r="AU136" s="219" t="s">
        <v>1486</v>
      </c>
      <c r="AV136" s="456">
        <v>0.2</v>
      </c>
    </row>
    <row r="137" spans="39:48" x14ac:dyDescent="0.2">
      <c r="AM137" s="219" t="s">
        <v>1492</v>
      </c>
      <c r="AN137" s="219" t="s">
        <v>683</v>
      </c>
      <c r="AO137" s="219" t="s">
        <v>840</v>
      </c>
      <c r="AP137" s="454" t="s">
        <v>1452</v>
      </c>
      <c r="AQ137" s="219" t="s">
        <v>843</v>
      </c>
      <c r="AR137" s="219" t="s">
        <v>1485</v>
      </c>
      <c r="AS137" s="219" t="s">
        <v>847</v>
      </c>
      <c r="AT137" s="219">
        <v>0</v>
      </c>
      <c r="AU137" s="219" t="s">
        <v>1486</v>
      </c>
      <c r="AV137" s="219">
        <v>12</v>
      </c>
    </row>
    <row r="138" spans="39:48" x14ac:dyDescent="0.2">
      <c r="AM138" s="219" t="s">
        <v>1493</v>
      </c>
      <c r="AN138" s="219" t="s">
        <v>683</v>
      </c>
      <c r="AO138" s="219" t="s">
        <v>840</v>
      </c>
      <c r="AP138" s="454" t="s">
        <v>1453</v>
      </c>
      <c r="AQ138" s="219" t="s">
        <v>843</v>
      </c>
      <c r="AR138" s="219" t="s">
        <v>1487</v>
      </c>
      <c r="AS138" s="219" t="s">
        <v>847</v>
      </c>
      <c r="AT138" s="219">
        <v>0</v>
      </c>
      <c r="AU138" s="219" t="s">
        <v>1486</v>
      </c>
      <c r="AV138" s="219">
        <v>24</v>
      </c>
    </row>
    <row r="139" spans="39:48" x14ac:dyDescent="0.2">
      <c r="AM139" s="219" t="s">
        <v>1494</v>
      </c>
      <c r="AN139" s="219" t="s">
        <v>683</v>
      </c>
      <c r="AO139" s="219" t="s">
        <v>840</v>
      </c>
      <c r="AP139" s="454" t="s">
        <v>1454</v>
      </c>
      <c r="AQ139" s="219" t="s">
        <v>843</v>
      </c>
      <c r="AR139" s="219" t="s">
        <v>1485</v>
      </c>
      <c r="AS139" s="219" t="s">
        <v>847</v>
      </c>
      <c r="AT139" s="219">
        <v>0</v>
      </c>
      <c r="AU139" s="219" t="s">
        <v>1486</v>
      </c>
      <c r="AV139" s="219">
        <v>4</v>
      </c>
    </row>
    <row r="140" spans="39:48" x14ac:dyDescent="0.2">
      <c r="AM140" s="219" t="s">
        <v>1495</v>
      </c>
      <c r="AN140" s="219" t="s">
        <v>683</v>
      </c>
      <c r="AO140" s="219" t="s">
        <v>840</v>
      </c>
      <c r="AP140" s="454" t="s">
        <v>1455</v>
      </c>
      <c r="AQ140" s="219" t="s">
        <v>843</v>
      </c>
      <c r="AR140" s="219" t="s">
        <v>1487</v>
      </c>
      <c r="AS140" s="219" t="s">
        <v>847</v>
      </c>
      <c r="AT140" s="219">
        <v>0</v>
      </c>
      <c r="AU140" s="219" t="s">
        <v>1486</v>
      </c>
      <c r="AV140" s="219">
        <v>24</v>
      </c>
    </row>
    <row r="141" spans="39:48" x14ac:dyDescent="0.2">
      <c r="AM141" s="219" t="s">
        <v>1496</v>
      </c>
      <c r="AN141" s="219" t="s">
        <v>683</v>
      </c>
      <c r="AO141" s="219" t="s">
        <v>840</v>
      </c>
      <c r="AP141" s="454" t="s">
        <v>1456</v>
      </c>
      <c r="AQ141" s="219" t="s">
        <v>843</v>
      </c>
      <c r="AR141" s="219" t="s">
        <v>1487</v>
      </c>
      <c r="AS141" s="219" t="s">
        <v>847</v>
      </c>
      <c r="AT141" s="219">
        <v>0</v>
      </c>
      <c r="AU141" s="219" t="s">
        <v>1486</v>
      </c>
      <c r="AV141" s="219">
        <v>12</v>
      </c>
    </row>
    <row r="142" spans="39:48" x14ac:dyDescent="0.2">
      <c r="AM142" s="219" t="s">
        <v>1497</v>
      </c>
      <c r="AN142" s="219" t="s">
        <v>683</v>
      </c>
      <c r="AO142" s="219" t="s">
        <v>840</v>
      </c>
      <c r="AP142" s="454" t="s">
        <v>1457</v>
      </c>
      <c r="AQ142" s="219" t="s">
        <v>843</v>
      </c>
      <c r="AR142" s="219" t="s">
        <v>1487</v>
      </c>
      <c r="AS142" s="219" t="s">
        <v>847</v>
      </c>
      <c r="AT142" s="219">
        <v>0</v>
      </c>
      <c r="AU142" s="219" t="s">
        <v>1486</v>
      </c>
      <c r="AV142" s="219">
        <v>20</v>
      </c>
    </row>
    <row r="143" spans="39:48" x14ac:dyDescent="0.2">
      <c r="AM143" s="219" t="s">
        <v>1498</v>
      </c>
      <c r="AN143" s="219" t="s">
        <v>683</v>
      </c>
      <c r="AO143" s="219" t="s">
        <v>840</v>
      </c>
      <c r="AP143" s="454" t="s">
        <v>1458</v>
      </c>
      <c r="AQ143" s="219" t="s">
        <v>843</v>
      </c>
      <c r="AR143" s="219" t="s">
        <v>1487</v>
      </c>
      <c r="AS143" s="219" t="s">
        <v>847</v>
      </c>
      <c r="AT143" s="219">
        <v>0</v>
      </c>
      <c r="AU143" s="219" t="s">
        <v>1486</v>
      </c>
      <c r="AV143" s="219">
        <v>10</v>
      </c>
    </row>
    <row r="144" spans="39:48" x14ac:dyDescent="0.2">
      <c r="AM144" s="219" t="s">
        <v>1499</v>
      </c>
      <c r="AN144" s="219" t="s">
        <v>683</v>
      </c>
      <c r="AO144" s="219" t="s">
        <v>840</v>
      </c>
      <c r="AP144" s="454" t="s">
        <v>1459</v>
      </c>
      <c r="AQ144" s="219" t="s">
        <v>843</v>
      </c>
      <c r="AR144" s="219" t="s">
        <v>1502</v>
      </c>
      <c r="AS144" s="219" t="s">
        <v>847</v>
      </c>
      <c r="AT144" s="219">
        <v>0</v>
      </c>
      <c r="AU144" s="219" t="s">
        <v>1486</v>
      </c>
      <c r="AV144" s="219">
        <v>10</v>
      </c>
    </row>
    <row r="145" spans="39:48" x14ac:dyDescent="0.2">
      <c r="AM145" s="233" t="s">
        <v>1460</v>
      </c>
      <c r="AP145" s="454"/>
    </row>
    <row r="146" spans="39:48" x14ac:dyDescent="0.2">
      <c r="AM146" s="219" t="s">
        <v>1503</v>
      </c>
      <c r="AN146" s="219" t="s">
        <v>682</v>
      </c>
      <c r="AO146" s="219" t="s">
        <v>833</v>
      </c>
      <c r="AP146" s="454" t="s">
        <v>1461</v>
      </c>
      <c r="AQ146" s="219" t="s">
        <v>843</v>
      </c>
      <c r="AR146" s="219" t="s">
        <v>1511</v>
      </c>
      <c r="AS146" s="219" t="s">
        <v>1512</v>
      </c>
      <c r="AT146" s="219">
        <v>80</v>
      </c>
      <c r="AU146" s="219">
        <v>2019</v>
      </c>
      <c r="AV146" s="219">
        <v>105</v>
      </c>
    </row>
    <row r="147" spans="39:48" x14ac:dyDescent="0.2">
      <c r="AM147" s="219" t="s">
        <v>1504</v>
      </c>
      <c r="AN147" s="219" t="s">
        <v>682</v>
      </c>
      <c r="AO147" s="219" t="s">
        <v>833</v>
      </c>
      <c r="AP147" s="454" t="s">
        <v>1462</v>
      </c>
      <c r="AQ147" s="219" t="s">
        <v>843</v>
      </c>
      <c r="AR147" s="219" t="s">
        <v>1511</v>
      </c>
      <c r="AS147" s="219" t="s">
        <v>1512</v>
      </c>
      <c r="AT147" s="219">
        <v>17</v>
      </c>
      <c r="AU147" s="219">
        <v>2019</v>
      </c>
      <c r="AV147" s="219">
        <v>60</v>
      </c>
    </row>
    <row r="148" spans="39:48" x14ac:dyDescent="0.2">
      <c r="AM148" s="219" t="s">
        <v>1505</v>
      </c>
      <c r="AN148" s="219" t="s">
        <v>683</v>
      </c>
      <c r="AO148" s="219" t="s">
        <v>840</v>
      </c>
      <c r="AP148" s="454" t="s">
        <v>1463</v>
      </c>
      <c r="AQ148" s="219" t="s">
        <v>843</v>
      </c>
      <c r="AR148" s="219" t="s">
        <v>1513</v>
      </c>
      <c r="AS148" s="219" t="s">
        <v>847</v>
      </c>
      <c r="AT148" s="219">
        <v>0</v>
      </c>
      <c r="AU148" s="219" t="s">
        <v>1486</v>
      </c>
      <c r="AV148" s="455">
        <v>11500</v>
      </c>
    </row>
    <row r="149" spans="39:48" x14ac:dyDescent="0.2">
      <c r="AM149" s="219" t="s">
        <v>1506</v>
      </c>
      <c r="AN149" s="219" t="s">
        <v>683</v>
      </c>
      <c r="AO149" s="219" t="s">
        <v>840</v>
      </c>
      <c r="AP149" s="454" t="s">
        <v>1464</v>
      </c>
      <c r="AQ149" s="219" t="s">
        <v>843</v>
      </c>
      <c r="AR149" s="219" t="s">
        <v>1501</v>
      </c>
      <c r="AS149" s="219" t="s">
        <v>847</v>
      </c>
      <c r="AT149" s="219">
        <v>0</v>
      </c>
      <c r="AU149" s="219" t="s">
        <v>1486</v>
      </c>
      <c r="AV149" s="219">
        <v>80</v>
      </c>
    </row>
    <row r="150" spans="39:48" x14ac:dyDescent="0.2">
      <c r="AM150" s="219" t="s">
        <v>1507</v>
      </c>
      <c r="AN150" s="219" t="s">
        <v>683</v>
      </c>
      <c r="AO150" s="219" t="s">
        <v>840</v>
      </c>
      <c r="AP150" s="454" t="s">
        <v>1465</v>
      </c>
      <c r="AQ150" s="219" t="s">
        <v>843</v>
      </c>
      <c r="AR150" s="219" t="s">
        <v>1501</v>
      </c>
      <c r="AS150" s="219" t="s">
        <v>847</v>
      </c>
      <c r="AT150" s="219">
        <v>0</v>
      </c>
      <c r="AU150" s="219" t="s">
        <v>1486</v>
      </c>
      <c r="AV150" s="219">
        <v>80</v>
      </c>
    </row>
    <row r="151" spans="39:48" x14ac:dyDescent="0.2">
      <c r="AM151" s="219" t="s">
        <v>1508</v>
      </c>
      <c r="AN151" s="219" t="s">
        <v>683</v>
      </c>
      <c r="AO151" s="219" t="s">
        <v>840</v>
      </c>
      <c r="AP151" s="454" t="s">
        <v>1466</v>
      </c>
      <c r="AQ151" s="219" t="s">
        <v>843</v>
      </c>
      <c r="AR151" s="219" t="s">
        <v>1501</v>
      </c>
      <c r="AS151" s="219" t="s">
        <v>847</v>
      </c>
      <c r="AT151" s="219">
        <v>0</v>
      </c>
      <c r="AU151" s="219" t="s">
        <v>1486</v>
      </c>
      <c r="AV151" s="219">
        <v>10</v>
      </c>
    </row>
    <row r="152" spans="39:48" x14ac:dyDescent="0.2">
      <c r="AM152" s="219" t="s">
        <v>1509</v>
      </c>
      <c r="AN152" s="219" t="s">
        <v>683</v>
      </c>
      <c r="AO152" s="219" t="s">
        <v>840</v>
      </c>
      <c r="AP152" s="454" t="s">
        <v>1467</v>
      </c>
      <c r="AQ152" s="219" t="s">
        <v>843</v>
      </c>
      <c r="AR152" s="219" t="s">
        <v>1501</v>
      </c>
      <c r="AS152" s="219" t="s">
        <v>847</v>
      </c>
      <c r="AT152" s="219">
        <v>0</v>
      </c>
      <c r="AU152" s="219" t="s">
        <v>1486</v>
      </c>
      <c r="AV152" s="219">
        <v>10</v>
      </c>
    </row>
    <row r="153" spans="39:48" x14ac:dyDescent="0.2">
      <c r="AM153" s="219" t="s">
        <v>1510</v>
      </c>
      <c r="AN153" s="219" t="s">
        <v>683</v>
      </c>
      <c r="AO153" s="219" t="s">
        <v>840</v>
      </c>
      <c r="AP153" s="454" t="s">
        <v>1468</v>
      </c>
      <c r="AQ153" s="219" t="s">
        <v>843</v>
      </c>
      <c r="AR153" s="219" t="s">
        <v>1501</v>
      </c>
      <c r="AS153" s="219" t="s">
        <v>847</v>
      </c>
      <c r="AT153" s="219">
        <v>0</v>
      </c>
      <c r="AU153" s="219" t="s">
        <v>1486</v>
      </c>
      <c r="AV153" s="219">
        <v>60</v>
      </c>
    </row>
    <row r="154" spans="39:48" x14ac:dyDescent="0.2">
      <c r="AM154" s="233" t="s">
        <v>1469</v>
      </c>
      <c r="AP154" s="454"/>
    </row>
    <row r="155" spans="39:48" x14ac:dyDescent="0.2">
      <c r="AM155" s="219" t="s">
        <v>1514</v>
      </c>
      <c r="AN155" s="219" t="s">
        <v>682</v>
      </c>
      <c r="AO155" s="219" t="s">
        <v>833</v>
      </c>
      <c r="AP155" s="454" t="s">
        <v>1470</v>
      </c>
      <c r="AQ155" s="219" t="s">
        <v>1519</v>
      </c>
      <c r="AR155" s="219" t="s">
        <v>886</v>
      </c>
      <c r="AS155" s="219" t="s">
        <v>836</v>
      </c>
      <c r="AT155" s="219" t="s">
        <v>1520</v>
      </c>
      <c r="AU155" s="219" t="s">
        <v>190</v>
      </c>
      <c r="AV155" s="219" t="s">
        <v>1521</v>
      </c>
    </row>
    <row r="156" spans="39:48" x14ac:dyDescent="0.2">
      <c r="AM156" s="219" t="s">
        <v>1515</v>
      </c>
      <c r="AN156" s="219" t="s">
        <v>682</v>
      </c>
      <c r="AO156" s="219" t="s">
        <v>833</v>
      </c>
      <c r="AP156" s="454" t="s">
        <v>1471</v>
      </c>
      <c r="AQ156" s="219" t="s">
        <v>1519</v>
      </c>
      <c r="AR156" s="219" t="s">
        <v>886</v>
      </c>
      <c r="AS156" s="219" t="s">
        <v>836</v>
      </c>
      <c r="AT156" s="219" t="s">
        <v>1522</v>
      </c>
      <c r="AU156" s="219" t="s">
        <v>190</v>
      </c>
      <c r="AV156" s="219" t="s">
        <v>1521</v>
      </c>
    </row>
    <row r="157" spans="39:48" x14ac:dyDescent="0.2">
      <c r="AM157" s="219" t="s">
        <v>1516</v>
      </c>
      <c r="AN157" s="219" t="s">
        <v>682</v>
      </c>
      <c r="AO157" s="219" t="s">
        <v>840</v>
      </c>
      <c r="AP157" s="454" t="s">
        <v>1472</v>
      </c>
      <c r="AQ157" s="219" t="s">
        <v>887</v>
      </c>
      <c r="AR157" s="219" t="s">
        <v>886</v>
      </c>
      <c r="AS157" s="219" t="s">
        <v>1523</v>
      </c>
      <c r="AT157" s="219" t="s">
        <v>1486</v>
      </c>
      <c r="AU157" s="219" t="s">
        <v>1486</v>
      </c>
      <c r="AV157" s="219" t="s">
        <v>1524</v>
      </c>
    </row>
    <row r="158" spans="39:48" x14ac:dyDescent="0.2">
      <c r="AM158" s="219" t="s">
        <v>1517</v>
      </c>
      <c r="AN158" s="219" t="s">
        <v>683</v>
      </c>
      <c r="AO158" s="219" t="s">
        <v>840</v>
      </c>
      <c r="AP158" s="454" t="s">
        <v>1473</v>
      </c>
      <c r="AQ158" s="219" t="s">
        <v>843</v>
      </c>
      <c r="AR158" s="219" t="s">
        <v>1525</v>
      </c>
      <c r="AS158" s="219" t="s">
        <v>847</v>
      </c>
      <c r="AT158" s="219">
        <v>0</v>
      </c>
      <c r="AU158" s="219" t="s">
        <v>1486</v>
      </c>
      <c r="AV158" s="219">
        <v>4</v>
      </c>
    </row>
    <row r="159" spans="39:48" x14ac:dyDescent="0.2">
      <c r="AM159" s="219" t="s">
        <v>1518</v>
      </c>
      <c r="AN159" s="219" t="s">
        <v>683</v>
      </c>
      <c r="AO159" s="219" t="s">
        <v>840</v>
      </c>
      <c r="AP159" s="454" t="s">
        <v>1474</v>
      </c>
      <c r="AQ159" s="219" t="s">
        <v>843</v>
      </c>
      <c r="AR159" s="219" t="s">
        <v>1526</v>
      </c>
      <c r="AS159" s="219" t="s">
        <v>847</v>
      </c>
      <c r="AT159" s="219">
        <v>0</v>
      </c>
      <c r="AU159" s="219" t="s">
        <v>1486</v>
      </c>
      <c r="AV159" s="219">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399" t="s">
        <v>479</v>
      </c>
      <c r="B1" s="399" t="s">
        <v>480</v>
      </c>
      <c r="C1" s="399" t="s">
        <v>477</v>
      </c>
      <c r="D1" s="399" t="s">
        <v>478</v>
      </c>
    </row>
    <row r="2" spans="1:4" x14ac:dyDescent="0.2">
      <c r="A2" s="430" t="s">
        <v>494</v>
      </c>
      <c r="B2" s="431" t="b">
        <f>ISERROR(VLOOKUP(sector_specified,grant_rates_table,2,FALSE))</f>
        <v>1</v>
      </c>
      <c r="C2" s="432" t="s">
        <v>493</v>
      </c>
      <c r="D2" s="432" t="s">
        <v>492</v>
      </c>
    </row>
    <row r="3" spans="1:4" x14ac:dyDescent="0.2">
      <c r="A3" s="433" t="s">
        <v>481</v>
      </c>
      <c r="B3" s="378" t="e">
        <f>project_grant_rate&gt;maximum_grant_rate</f>
        <v>#DIV/0!</v>
      </c>
      <c r="C3" s="434" t="str">
        <f>"If using cash co-financing only, you need to increase your co-financing to EUR "&amp;total_eligible_expenditure_total-ROUND(total_eligible_expenditure_total*maximum_grant_rate,0)</f>
        <v>If using cash co-financing only, you need to increase your co-financing to EUR 0</v>
      </c>
      <c r="D3" s="434"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3" t="s">
        <v>504</v>
      </c>
      <c r="B4" s="378" t="e">
        <f>IF(AND(sector=nonprofit_sector_verification_title,sector_specified&lt;&gt;churches_verification_title,project_grant_rate&gt;maximum_grant_rate),TRUE)</f>
        <v>#DIV/0!</v>
      </c>
      <c r="C4" s="434" t="str">
        <f>"If using in-kind, in-kind cofinancing should be equal to the figure in point 5.1.17, i.e. EUR "&amp;in_kind_maximum_eur</f>
        <v>If using in-kind, in-kind cofinancing should be equal to the figure in point 5.1.17, i.e. EUR 0</v>
      </c>
      <c r="D4" s="434"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3" t="s">
        <v>505</v>
      </c>
      <c r="B5" s="378" t="e">
        <f>IF(AND(sector=nonprofit_sector_verification_title,sector_specified&lt;&gt;churches_verification_title,maximum_in_kind_percentage=0.5,project_grant_rate&gt;maximum_grant_rate),TRUE)</f>
        <v>#DIV/0!</v>
      </c>
      <c r="C5" s="434" t="str">
        <f>"In this case, cash-cofinancing should be equal to the the same figure, i.e. EUR "&amp;in_kind_maximum_eur</f>
        <v>In this case, cash-cofinancing should be equal to the the same figure, i.e. EUR 0</v>
      </c>
      <c r="D5" s="434" t="str">
        <f>"V tomto prípade by sa peňažné spolufinancovanie malo tiež rovnať tejto hodnote, t.j. "&amp;in_kind_maximum_eur &amp; " eur."</f>
        <v>V tomto prípade by sa peňažné spolufinancovanie malo tiež rovnať tejto hodnote, t.j. 0 eur.</v>
      </c>
    </row>
    <row r="6" spans="1:4" x14ac:dyDescent="0.2">
      <c r="A6" s="433" t="s">
        <v>482</v>
      </c>
      <c r="B6" s="378" t="e">
        <f>grant_requested_total&gt;maximum_project_grant_requested</f>
        <v>#N/A</v>
      </c>
      <c r="C6" s="434" t="s">
        <v>483</v>
      </c>
      <c r="D6" s="434" t="s">
        <v>484</v>
      </c>
    </row>
    <row r="7" spans="1:4" x14ac:dyDescent="0.2">
      <c r="A7" s="433" t="s">
        <v>485</v>
      </c>
      <c r="B7" s="378" t="e">
        <f>grant_requested_total&lt;minimum_project_grant_requested</f>
        <v>#N/A</v>
      </c>
      <c r="C7" s="434" t="s">
        <v>490</v>
      </c>
      <c r="D7" s="434" t="s">
        <v>486</v>
      </c>
    </row>
    <row r="8" spans="1:4" x14ac:dyDescent="0.2">
      <c r="A8" s="433" t="s">
        <v>487</v>
      </c>
      <c r="B8" s="378" t="b">
        <f>actual_in_kind_percentage&gt;maximum_in_kind_percentage</f>
        <v>0</v>
      </c>
      <c r="C8" s="434" t="s">
        <v>500</v>
      </c>
      <c r="D8" s="434" t="s">
        <v>501</v>
      </c>
    </row>
    <row r="9" spans="1:4" x14ac:dyDescent="0.2">
      <c r="A9" s="433" t="s">
        <v>488</v>
      </c>
      <c r="B9" s="378" t="b">
        <f>reserve_total&gt;maximum_reserve</f>
        <v>0</v>
      </c>
      <c r="C9" s="434" t="s">
        <v>491</v>
      </c>
      <c r="D9" s="434" t="s">
        <v>489</v>
      </c>
    </row>
    <row r="10" spans="1:4" x14ac:dyDescent="0.2">
      <c r="A10" s="435"/>
      <c r="B10" s="378"/>
      <c r="C10" s="378"/>
      <c r="D10" s="378"/>
    </row>
    <row r="11" spans="1:4" x14ac:dyDescent="0.2">
      <c r="A11" s="435"/>
      <c r="B11" s="378"/>
      <c r="C11" s="378"/>
      <c r="D11" s="378"/>
    </row>
    <row r="12" spans="1:4" ht="13.5" thickBot="1" x14ac:dyDescent="0.25">
      <c r="A12" s="436"/>
      <c r="B12" s="437"/>
      <c r="C12" s="437"/>
      <c r="D12" s="43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1149</vt:i4>
      </vt:variant>
    </vt:vector>
  </HeadingPairs>
  <TitlesOfParts>
    <vt:vector size="1154" baseType="lpstr">
      <vt:lpstr>Ziadatel</vt:lpstr>
      <vt:lpstr>Rozpocet</vt:lpstr>
      <vt:lpstr>Prehlad</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budget_table_GOL</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Rozpocet!Názvy_tlače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Rozpocet!Oblasť_tlače</vt:lpstr>
      <vt:lpstr>Ziadatel!Oblasť_tlače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Mojzis JaroslavX</cp:lastModifiedBy>
  <cp:lastPrinted>2019-05-20T15:59:50Z</cp:lastPrinted>
  <dcterms:created xsi:type="dcterms:W3CDTF">2005-08-12T08:07:53Z</dcterms:created>
  <dcterms:modified xsi:type="dcterms:W3CDTF">2020-02-27T13:25:52Z</dcterms:modified>
</cp:coreProperties>
</file>