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bookViews>
    <workbookView xWindow="2280" yWindow="405" windowWidth="13905" windowHeight="1114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Lists!$H$3:$I$36</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9" i="1" l="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61" i="1" a="1"/>
  <c r="L461" i="1" s="1"/>
  <c r="L462" i="1" a="1"/>
  <c r="L462" i="1" s="1"/>
  <c r="L465" i="1" a="1"/>
  <c r="L465" i="1" s="1"/>
  <c r="L446" i="1" a="1"/>
  <c r="L446" i="1" s="1"/>
  <c r="L447" i="1" a="1"/>
  <c r="L447" i="1" s="1"/>
  <c r="L448" i="1" a="1"/>
  <c r="L448" i="1" s="1"/>
  <c r="L449" i="1" a="1"/>
  <c r="L449" i="1" s="1"/>
  <c r="L450" i="1" a="1"/>
  <c r="L450" i="1" s="1"/>
  <c r="L451" i="1" a="1"/>
  <c r="L451" i="1" s="1"/>
  <c r="L463" i="1" a="1"/>
  <c r="E463" i="1" a="1"/>
  <c r="E462" i="1" a="1"/>
  <c r="F463" i="1" a="1"/>
  <c r="E461" i="1" a="1"/>
  <c r="F462" i="1" a="1"/>
  <c r="E465" i="1" a="1"/>
  <c r="F461" i="1" a="1"/>
  <c r="F465" i="1" a="1"/>
  <c r="L442" i="1" a="1"/>
  <c r="L445" i="1" a="1"/>
  <c r="L440" i="1" a="1"/>
  <c r="L443" i="1" a="1"/>
  <c r="L444" i="1" a="1"/>
  <c r="L439" i="1" a="1"/>
  <c r="L441" i="1" a="1"/>
  <c r="L445" i="1" l="1"/>
  <c r="L444" i="1"/>
  <c r="L443" i="1"/>
  <c r="L463" i="1"/>
  <c r="F465" i="1"/>
  <c r="F461" i="1"/>
  <c r="E465" i="1"/>
  <c r="F462" i="1"/>
  <c r="E461" i="1"/>
  <c r="F463" i="1"/>
  <c r="E462" i="1"/>
  <c r="E463"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93"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F447" i="1" a="1"/>
  <c r="E446" i="1" a="1"/>
  <c r="E447" i="1" a="1"/>
  <c r="F446" i="1" a="1"/>
  <c r="E464" i="1" a="1"/>
  <c r="L464" i="1" a="1"/>
  <c r="F464" i="1" a="1"/>
  <c r="F438" i="1" a="1"/>
  <c r="F442" i="1" a="1"/>
  <c r="F439" i="1" a="1"/>
  <c r="E459" i="1" a="1"/>
  <c r="F444" i="1" a="1"/>
  <c r="E439" i="1" a="1"/>
  <c r="E441" i="1" a="1"/>
  <c r="F460" i="1" a="1"/>
  <c r="E460" i="1" a="1"/>
  <c r="L459" i="1" a="1"/>
  <c r="E440" i="1" a="1"/>
  <c r="E445" i="1" a="1"/>
  <c r="E443" i="1" a="1"/>
  <c r="L460" i="1" a="1"/>
  <c r="E438" i="1" a="1"/>
  <c r="F458" i="1" a="1"/>
  <c r="F445" i="1" a="1"/>
  <c r="F459" i="1" a="1"/>
  <c r="F441" i="1" a="1"/>
  <c r="F440" i="1" a="1"/>
  <c r="E458" i="1" a="1"/>
  <c r="L458" i="1" a="1"/>
  <c r="E442" i="1" a="1"/>
  <c r="E444" i="1" a="1"/>
  <c r="F443" i="1" a="1"/>
  <c r="L459" i="1" l="1"/>
  <c r="L460" i="1"/>
  <c r="L458" i="1"/>
  <c r="E460" i="1"/>
  <c r="E459" i="1"/>
  <c r="F460" i="1"/>
  <c r="F459"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L464" i="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<sst xmlns="http://schemas.openxmlformats.org/spreadsheetml/2006/main" count="2443" uniqueCount="1449">
  <si>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</si>
  <si>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</si>
  <si>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</si>
  <si>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</si>
  <si>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</si>
  <si>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</si>
  <si>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</si>
  <si>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</si>
  <si>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</si>
  <si>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</si>
  <si>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</si>
  <si>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</si>
  <si>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</si>
  <si>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</si>
  <si>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</si>
  <si>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</si>
  <si>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</si>
  <si>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</si>
  <si>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</si>
  <si>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</si>
  <si>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</si>
  <si>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</si>
  <si>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</si>
  <si>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</si>
  <si>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</si>
  <si>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</si>
  <si>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</si>
  <si>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</si>
  <si>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</si>
  <si>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</si>
  <si>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</si>
  <si>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</si>
  <si>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</si>
  <si>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</si>
  <si>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</si>
  <si>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</si>
  <si>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</si>
  <si>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</si>
  <si>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</si>
  <si>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</si>
  <si>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</si>
  <si>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</si>
  <si>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</si>
  <si>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</si>
  <si>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</si>
  <si>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</si>
  <si>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</si>
  <si>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</si>
  <si>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</si>
  <si>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</si>
  <si>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</si>
  <si>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</si>
  <si>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</si>
  <si>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</si>
  <si>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</si>
  <si>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</si>
  <si>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</si>
  <si>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</si>
  <si>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</si>
  <si>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</si>
  <si>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</si>
  <si>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</si>
  <si>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</si>
  <si>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</si>
  <si>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</si>
  <si>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</si>
  <si>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</si>
  <si>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</si>
  <si>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</si>
  <si>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</si>
  <si>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</si>
  <si>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</si>
  <si>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</si>
  <si>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</si>
  <si>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</si>
  <si>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</si>
  <si>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</si>
  <si>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</si>
  <si>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</si>
  <si>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</si>
  <si>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</si>
  <si>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</si>
  <si>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</si>
  <si>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</si>
  <si>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</si>
  <si>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</si>
  <si>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</si>
  <si>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</si>
  <si>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</si>
  <si>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</si>
  <si>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</si>
  <si>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</si>
  <si>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</si>
  <si>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</si>
  <si>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</si>
  <si>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</si>
  <si>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</si>
  <si>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</si>
  <si>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</si>
  <si>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</si>
  <si>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</si>
  <si>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</si>
  <si>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</si>
  <si>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</si>
  <si>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</si>
  <si>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</si>
  <si>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</si>
  <si>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</si>
  <si>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</si>
  <si>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</si>
  <si>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</si>
  <si>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</si>
  <si>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</si>
  <si>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</si>
  <si>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</si>
  <si>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</si>
  <si>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</si>
  <si>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</si>
  <si>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</si>
  <si>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</si>
  <si>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</si>
  <si>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</si>
  <si>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</si>
  <si>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</si>
  <si>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</si>
  <si>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</si>
  <si>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</si>
  <si>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</si>
  <si>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</si>
  <si>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</si>
  <si>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</si>
  <si>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</si>
  <si>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</si>
  <si>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</si>
  <si>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</si>
  <si>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</si>
  <si>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</si>
  <si>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</si>
  <si>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</si>
  <si>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</si>
  <si>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</si>
  <si>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</si>
  <si>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</si>
  <si>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</si>
  <si>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</si>
  <si>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</si>
  <si>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</si>
  <si>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</si>
  <si>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</si>
  <si>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</si>
  <si>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</si>
  <si>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</si>
  <si>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</si>
  <si>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</si>
  <si>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</si>
  <si>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</si>
  <si>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</si>
  <si>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</si>
  <si>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</si>
  <si>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</si>
  <si>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</si>
  <si>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</si>
  <si>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</si>
  <si>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</si>
  <si>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</si>
  <si>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</si>
  <si>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</si>
  <si>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</si>
  <si>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</si>
  <si>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</si>
  <si>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</si>
  <si>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</si>
  <si>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</si>
  <si>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</si>
  <si>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</si>
  <si>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</si>
  <si>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</si>
  <si>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</si>
  <si>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</si>
  <si>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</si>
  <si>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</si>
  <si>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</si>
  <si>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</si>
  <si>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</si>
  <si>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</si>
  <si>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</si>
  <si>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</si>
  <si>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</si>
  <si>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</si>
  <si>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</si>
  <si>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</si>
  <si>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</si>
  <si>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</si>
  <si>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</si>
  <si>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</si>
  <si>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</si>
  <si>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</si>
  <si>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</si>
  <si>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</si>
  <si>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</si>
  <si>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</si>
  <si>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</si>
  <si>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</si>
  <si>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</si>
  <si>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</si>
  <si>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</si>
  <si>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</si>
  <si>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</si>
  <si>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</si>
  <si>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</si>
  <si>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</si>
  <si>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</si>
  <si>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</si>
  <si>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</si>
  <si>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</si>
  <si>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</si>
  <si>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</si>
  <si>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</si>
  <si>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</si>
  <si>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</si>
  <si>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</si>
  <si>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</si>
  <si>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</si>
  <si>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</si>
  <si>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</si>
  <si>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</si>
  <si>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</si>
  <si>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</si>
  <si>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</si>
  <si>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</si>
  <si>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</si>
  <si>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</si>
  <si>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</si>
  <si>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</si>
  <si>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</si>
  <si>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</si>
  <si>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</si>
  <si>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</si>
  <si>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</si>
  <si>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</si>
  <si>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</si>
  <si>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</si>
  <si>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</si>
  <si>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</si>
  <si>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</si>
  <si>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</si>
  <si>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</si>
  <si>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</si>
  <si>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</si>
  <si>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</si>
  <si>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</si>
  <si>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</si>
  <si>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</si>
  <si>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</si>
  <si>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</si>
  <si>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</si>
  <si>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</si>
  <si>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</si>
  <si>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</si>
  <si>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</si>
  <si>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</si>
  <si>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</si>
  <si>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</si>
  <si>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</si>
  <si>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</si>
  <si>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</si>
  <si>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</si>
  <si>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</si>
  <si>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</si>
  <si>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</si>
  <si>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</si>
  <si>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</si>
  <si>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</si>
  <si>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</si>
  <si>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</si>
  <si>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</si>
  <si>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</si>
  <si>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</si>
  <si>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</si>
  <si>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</si>
  <si>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</si>
  <si>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</si>
  <si>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</si>
  <si>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</si>
  <si>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</si>
  <si>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</si>
  <si>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</si>
  <si>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</si>
  <si>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</si>
  <si>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</si>
  <si>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</si>
  <si>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</si>
  <si>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</si>
  <si>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</si>
  <si>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</si>
  <si>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</si>
  <si>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</si>
  <si>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</si>
  <si>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</si>
  <si>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</si>
  <si>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</si>
  <si>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</si>
  <si>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</si>
  <si>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</si>
  <si>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</si>
  <si>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</si>
  <si>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</si>
  <si>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</si>
  <si>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</si>
  <si>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</si>
  <si>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</si>
  <si>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</si>
  <si>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</si>
  <si>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</si>
  <si>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</si>
  <si>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</si>
  <si>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</si>
  <si>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</si>
  <si>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</si>
  <si>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</si>
  <si>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</si>
  <si>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</si>
  <si>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</si>
  <si>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</si>
  <si>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</si>
  <si>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</si>
  <si>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</si>
  <si>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</si>
  <si>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</si>
  <si>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</si>
  <si>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</si>
  <si>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</si>
  <si>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</si>
  <si>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</si>
  <si>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</si>
  <si>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</si>
  <si>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</si>
  <si>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</si>
  <si>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</si>
  <si>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</si>
  <si>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</si>
  <si>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</si>
  <si>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</si>
  <si>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</si>
  <si>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</si>
  <si>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</si>
  <si>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</si>
  <si>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</si>
  <si>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</si>
  <si>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</si>
  <si>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</si>
  <si>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</si>
  <si>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</si>
  <si>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</si>
  <si>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</si>
  <si>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</si>
  <si>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</si>
  <si>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</si>
  <si>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</si>
  <si>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</si>
  <si>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</si>
  <si>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</si>
  <si>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</si>
  <si>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</si>
  <si>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</si>
  <si>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</si>
  <si>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</si>
  <si>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</si>
  <si>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</si>
  <si>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</si>
  <si>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</si>
  <si>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</si>
  <si>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</si>
  <si>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</si>
  <si>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</si>
  <si>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</si>
  <si>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</si>
  <si>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</si>
  <si>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</si>
  <si>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</si>
  <si>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</si>
  <si>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</si>
  <si>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</si>
  <si>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</si>
  <si>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</si>
  <si>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</si>
  <si>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</si>
  <si>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</si>
  <si>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</si>
  <si>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</si>
  <si>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</si>
  <si>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</si>
  <si>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</si>
  <si>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</si>
  <si>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</si>
  <si>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</si>
  <si>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</si>
  <si>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</si>
  <si>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</si>
  <si>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</si>
  <si>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</si>
  <si>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</si>
  <si>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</si>
  <si>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</si>
  <si>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</si>
  <si>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</si>
  <si>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</si>
  <si>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</si>
  <si>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</si>
  <si>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</si>
  <si>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</si>
  <si>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</si>
  <si>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</si>
  <si>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</si>
  <si>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</si>
  <si>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</si>
  <si>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</si>
  <si>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</si>
  <si>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</si>
  <si>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</si>
  <si>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</si>
  <si>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</si>
  <si>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</si>
  <si>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</si>
  <si>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</si>
  <si>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</si>
  <si>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</si>
  <si>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</si>
  <si>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</si>
  <si>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</si>
  <si>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</si>
  <si>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</si>
  <si>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</si>
  <si>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</si>
  <si>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</si>
  <si>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</si>
  <si>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</si>
  <si>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</si>
  <si>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</si>
  <si>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</si>
  <si>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</si>
  <si>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</si>
  <si>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</si>
  <si>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</si>
  <si>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</si>
  <si>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</si>
  <si>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</si>
  <si>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</si>
  <si>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</si>
  <si>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</si>
  <si>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</si>
  <si>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</si>
  <si>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</si>
  <si>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</si>
  <si>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</si>
  <si>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</si>
  <si>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</si>
  <si>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</si>
  <si>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</si>
  <si>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</si>
  <si>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</si>
  <si>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</si>
  <si>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</si>
  <si>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</si>
  <si>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</si>
  <si>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</si>
  <si>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</si>
  <si>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</si>
  <si>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</si>
  <si>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</si>
  <si>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</si>
  <si>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</si>
  <si>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</si>
  <si>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</si>
  <si>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</si>
  <si>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</si>
  <si>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</si>
  <si>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</si>
  <si>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</si>
  <si>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</si>
  <si>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</si>
  <si>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</si>
  <si>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</si>
  <si>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</si>
  <si>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</si>
  <si>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</si>
  <si>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</si>
  <si>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</si>
  <si>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</si>
  <si>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</si>
  <si>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</si>
  <si>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</si>
  <si>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</si>
  <si>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</si>
  <si>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</si>
  <si>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</si>
  <si>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</si>
  <si>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</si>
  <si>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</si>
  <si>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</si>
  <si>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</si>
  <si>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</si>
  <si>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</si>
  <si>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</si>
  <si>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</si>
  <si>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</si>
  <si>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</si>
  <si>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</si>
  <si>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</si>
  <si>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</si>
  <si>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</si>
  <si>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</si>
  <si>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</si>
  <si>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</si>
  <si>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</si>
  <si>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</si>
  <si>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</si>
  <si>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</si>
  <si>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</si>
  <si>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</si>
  <si>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</si>
  <si>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</si>
  <si>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</si>
  <si>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</si>
  <si>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</si>
  <si>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</si>
  <si>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</si>
  <si>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</si>
  <si>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</si>
  <si>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</si>
  <si>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</si>
  <si>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</si>
  <si>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</si>
  <si>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</si>
  <si>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</si>
  <si>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</si>
  <si>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</si>
  <si>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</si>
  <si>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</si>
  <si>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</si>
  <si>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</si>
  <si>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</si>
  <si>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</si>
  <si>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</si>
  <si>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</si>
  <si>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</si>
  <si>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</si>
  <si>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</si>
  <si>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</si>
  <si>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</si>
  <si>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</si>
  <si>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</si>
  <si>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</si>
  <si>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</si>
  <si>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</si>
  <si>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</si>
  <si>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</si>
  <si>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</si>
  <si>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</si>
  <si>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</si>
  <si>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</si>
  <si>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</si>
  <si>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</si>
  <si>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</si>
  <si>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</si>
  <si>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</si>
  <si>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</si>
  <si>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</si>
  <si>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</si>
  <si>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</si>
  <si>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</si>
  <si>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</si>
  <si>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</si>
  <si>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</si>
  <si>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</si>
  <si>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</si>
  <si>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</si>
  <si>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</si>
  <si>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</si>
  <si>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</si>
  <si>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</si>
  <si>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</si>
  <si>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</si>
  <si>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</si>
  <si>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</si>
  <si>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</si>
  <si>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</si>
  <si>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</si>
  <si>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</si>
  <si>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</si>
  <si>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</si>
  <si>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</si>
  <si>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</si>
  <si>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</si>
  <si>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</si>
  <si>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</si>
  <si>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</si>
  <si>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</si>
  <si>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</si>
  <si>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</si>
  <si>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</si>
  <si>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</si>
  <si>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</si>
  <si>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</si>
  <si>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</si>
  <si>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</si>
  <si>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</si>
  <si>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</si>
  <si>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</si>
  <si>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</si>
  <si>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</si>
  <si>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</si>
  <si>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</si>
  <si>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</si>
  <si>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</si>
  <si>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</si>
  <si>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</si>
  <si>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</si>
  <si>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</si>
  <si>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</si>
  <si>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</si>
  <si>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</si>
  <si>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</si>
  <si>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</si>
  <si>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</si>
  <si>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</si>
  <si>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</si>
  <si>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</si>
  <si>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</si>
  <si>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</si>
  <si>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</si>
  <si>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</si>
  <si>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</si>
  <si>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</si>
  <si>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</si>
  <si>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</si>
  <si>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</si>
  <si>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</si>
  <si>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</si>
  <si>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</si>
  <si>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</si>
  <si>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</si>
  <si>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</si>
  <si>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</si>
  <si>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</si>
  <si>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</si>
  <si>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</si>
  <si>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</si>
  <si>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</si>
  <si>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</si>
  <si>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</si>
  <si>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</si>
  <si>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</si>
  <si>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</si>
  <si>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</si>
  <si>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</si>
  <si>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</si>
  <si>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</si>
  <si>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</si>
  <si>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</si>
  <si>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</si>
  <si>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</si>
  <si>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</si>
  <si>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</si>
  <si>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</si>
  <si>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</si>
  <si>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</si>
  <si>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</si>
  <si>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</si>
  <si>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</si>
  <si>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</si>
  <si>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</si>
  <si>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</si>
  <si>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</si>
  <si>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</si>
  <si>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</si>
  <si>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</si>
  <si>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</si>
  <si>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</si>
  <si>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</si>
  <si>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</si>
  <si>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</si>
  <si>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</si>
  <si>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</si>
  <si>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</si>
  <si>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</si>
  <si>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</si>
  <si>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</si>
  <si>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</si>
  <si>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</si>
  <si>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</si>
  <si>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</si>
  <si>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</si>
  <si>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</si>
  <si>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</si>
  <si>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</si>
  <si>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</si>
  <si>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</si>
  <si>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</si>
  <si>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</si>
  <si>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</si>
  <si>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</si>
  <si>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</si>
  <si>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</si>
  <si>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</si>
  <si>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</si>
  <si>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</si>
  <si>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</si>
  <si>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</si>
  <si>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</si>
  <si>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</si>
  <si>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</si>
  <si>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</si>
  <si>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</si>
  <si>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</si>
  <si>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</si>
  <si>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</si>
  <si>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</si>
  <si>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</si>
  <si>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</si>
  <si>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</si>
  <si>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</si>
  <si>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</si>
  <si>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</si>
  <si>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</si>
  <si>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</si>
  <si>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</si>
  <si>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</si>
  <si>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</si>
  <si>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</si>
  <si>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</si>
  <si>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</si>
  <si>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</si>
  <si>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</si>
  <si>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</si>
  <si>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</si>
  <si>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</si>
  <si>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</si>
  <si>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</si>
  <si>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</si>
  <si>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</si>
  <si>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</si>
  <si>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</si>
  <si>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</si>
  <si>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</si>
  <si>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</si>
  <si>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</si>
  <si>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</si>
  <si>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</si>
  <si>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</si>
  <si>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</si>
  <si>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</si>
  <si>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</si>
  <si>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</si>
  <si>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</si>
  <si>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</si>
  <si>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</si>
  <si>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</si>
  <si>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</si>
  <si>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</si>
  <si>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</si>
  <si>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</si>
  <si>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</si>
  <si>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</si>
  <si>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</si>
  <si>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</si>
  <si>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</si>
  <si>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</si>
  <si>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</si>
  <si>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</si>
  <si>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</si>
  <si>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</si>
  <si>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</si>
  <si>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</si>
  <si>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</si>
  <si>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</si>
  <si>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</si>
  <si>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</si>
  <si>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</si>
  <si>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</si>
  <si>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</si>
  <si>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</si>
  <si>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</si>
  <si>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</si>
  <si>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</si>
  <si>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</si>
  <si>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</si>
  <si>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</si>
  <si>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</si>
  <si>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</si>
  <si>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</si>
  <si>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</si>
  <si>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</si>
  <si>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</si>
  <si>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</si>
  <si>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</si>
  <si>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</si>
  <si>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</si>
  <si>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</si>
  <si>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</si>
  <si>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</si>
  <si>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</si>
  <si>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</si>
  <si>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</si>
  <si>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</si>
  <si>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</si>
  <si>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</si>
  <si>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</si>
  <si>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</si>
  <si>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</si>
  <si>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</si>
  <si>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</si>
  <si>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</si>
  <si>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</si>
  <si>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</si>
  <si>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</si>
  <si>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</si>
  <si>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</si>
  <si>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</si>
  <si>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</si>
  <si>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</si>
  <si>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</si>
  <si>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</si>
  <si>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</si>
  <si>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</si>
  <si>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</si>
  <si>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</si>
  <si>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</si>
  <si>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</si>
  <si>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</si>
  <si>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</si>
  <si>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</si>
  <si>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</si>
  <si>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</si>
  <si>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</si>
  <si>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</si>
  <si>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</si>
  <si>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</si>
  <si>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</si>
  <si>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</si>
  <si>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</si>
  <si>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</si>
  <si>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</si>
  <si>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</si>
  <si>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</si>
  <si>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</si>
  <si>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</si>
  <si>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</si>
  <si>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</si>
  <si>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</si>
  <si>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</si>
  <si>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</si>
  <si>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</si>
  <si>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</si>
  <si>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</si>
  <si>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</si>
  <si>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</si>
  <si>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</si>
  <si>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</si>
  <si>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</si>
  <si>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</si>
  <si>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</si>
  <si>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</si>
  <si>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</si>
  <si>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</si>
  <si>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</si>
  <si>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</si>
  <si>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</si>
  <si>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</si>
  <si>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</si>
  <si>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</si>
  <si>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</si>
  <si>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</si>
  <si>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</si>
  <si>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</si>
  <si>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</si>
  <si>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</si>
  <si>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</si>
  <si>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</si>
  <si>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</si>
  <si>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</si>
  <si>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</si>
  <si>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</si>
  <si>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</si>
  <si>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</si>
  <si>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</si>
  <si>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</si>
  <si>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</si>
  <si>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</si>
  <si>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</si>
  <si>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</si>
  <si>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</si>
  <si>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</si>
  <si>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</si>
  <si>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</si>
  <si>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</si>
  <si>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</si>
  <si>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</si>
  <si>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</si>
  <si>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</si>
  <si>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</si>
  <si>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</si>
  <si>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</si>
  <si>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</si>
  <si>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</si>
  <si>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</si>
  <si>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</si>
  <si>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</si>
  <si>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</si>
  <si>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</si>
  <si>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</si>
  <si>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</si>
  <si>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</si>
  <si>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</si>
  <si>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</si>
  <si>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</si>
  <si>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</si>
  <si>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</si>
  <si>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</si>
  <si>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</si>
  <si>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</si>
  <si>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</si>
  <si>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</si>
  <si>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</si>
  <si>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</si>
  <si>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</si>
  <si>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</si>
  <si>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</si>
  <si>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</si>
  <si>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</si>
  <si>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</si>
  <si>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</si>
  <si>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</si>
  <si>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</si>
  <si>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</si>
  <si>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</si>
  <si>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</si>
  <si>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</si>
  <si>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</si>
  <si>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</si>
  <si>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</si>
  <si>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</si>
  <si>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</si>
  <si>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</si>
  <si>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</si>
  <si>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</si>
  <si>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</si>
  <si>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</si>
  <si>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</si>
  <si>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</si>
  <si>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</si>
  <si>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</si>
  <si>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</si>
  <si>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</si>
  <si>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</si>
  <si>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</si>
  <si>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</si>
  <si>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</si>
  <si>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</si>
  <si>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</si>
  <si>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</si>
  <si>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</si>
  <si>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</si>
  <si>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</si>
  <si>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</si>
  <si>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</si>
  <si>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</si>
  <si>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</si>
  <si>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</si>
  <si>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</si>
  <si>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</si>
  <si>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</si>
  <si>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</si>
  <si>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</si>
  <si>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</si>
  <si>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</si>
  <si>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</si>
  <si>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</si>
  <si>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</si>
  <si>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</si>
  <si>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</si>
  <si>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</si>
  <si>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</si>
  <si>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</si>
  <si>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</si>
  <si>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</si>
  <si>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</si>
  <si>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</si>
  <si>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</si>
  <si>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</si>
  <si>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</si>
  <si>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</si>
  <si>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</si>
  <si>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</si>
  <si>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</si>
  <si>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</si>
  <si>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</si>
  <si>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</si>
  <si>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</si>
  <si>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</si>
  <si>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</si>
  <si>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</si>
  <si>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</si>
  <si>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</si>
  <si>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</si>
  <si>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</si>
  <si>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</si>
  <si>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</si>
  <si>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</si>
  <si>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</si>
  <si>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</si>
  <si>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</si>
  <si>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</si>
  <si>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</si>
  <si>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</si>
  <si>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</si>
  <si>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</si>
  <si>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</si>
  <si>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</si>
  <si>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</si>
  <si>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</si>
  <si>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</si>
  <si>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</si>
  <si>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</si>
  <si>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</si>
  <si>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</si>
  <si>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</si>
  <si>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</si>
  <si>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</si>
  <si>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</si>
  <si>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</si>
  <si>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</si>
  <si>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</si>
  <si>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</si>
  <si>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</si>
  <si>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</si>
  <si>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</si>
  <si>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</si>
  <si>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</si>
  <si>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</si>
  <si>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</si>
  <si>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</si>
  <si>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</si>
  <si>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</si>
  <si>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</si>
  <si>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</si>
  <si>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</si>
  <si>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</si>
  <si>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</si>
  <si>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</si>
  <si>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</si>
  <si>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</si>
  <si>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</si>
  <si>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</si>
  <si>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</si>
  <si>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</si>
  <si>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</si>
  <si>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</si>
  <si>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</si>
  <si>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</si>
  <si>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</si>
  <si>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</si>
  <si>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</si>
  <si>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</si>
  <si>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</si>
  <si>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</si>
  <si>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</si>
  <si>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</si>
  <si>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</si>
  <si>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</si>
  <si>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</si>
  <si>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</si>
  <si>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</si>
  <si>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</si>
  <si>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</si>
  <si>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</si>
  <si>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</si>
  <si>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</si>
  <si>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</si>
  <si>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</si>
  <si>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</si>
  <si>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</si>
  <si>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</si>
  <si>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</si>
  <si>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</si>
  <si>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</si>
  <si>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</si>
  <si>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</si>
  <si>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</si>
  <si>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</si>
  <si>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</si>
  <si>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</si>
  <si>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</si>
  <si>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</si>
  <si>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</si>
  <si>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</si>
  <si>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</si>
  <si>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</si>
  <si>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</si>
  <si>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</si>
  <si>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</si>
  <si>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</si>
  <si>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</si>
  <si>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</si>
  <si>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</si>
  <si>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</si>
  <si>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</si>
  <si>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</si>
  <si>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</si>
  <si>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</si>
  <si>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</si>
  <si>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</si>
  <si>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</si>
  <si>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</si>
  <si>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</si>
  <si>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</si>
  <si>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</si>
  <si>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</si>
  <si>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</si>
  <si>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</si>
  <si>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</si>
  <si>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</si>
  <si>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</si>
  <si>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</si>
  <si>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</si>
  <si>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</si>
  <si>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</si>
  <si>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</si>
  <si>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</si>
  <si>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</si>
  <si>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</si>
  <si>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</si>
  <si>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</si>
  <si>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</si>
  <si>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</si>
  <si>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</si>
  <si>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</si>
  <si>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</si>
  <si>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</si>
  <si>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</si>
  <si>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</si>
  <si>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</si>
  <si>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</si>
  <si>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</si>
  <si>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</si>
  <si>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</si>
  <si>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</si>
  <si>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</si>
  <si>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</si>
  <si>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</si>
  <si>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</si>
  <si>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</si>
  <si>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</si>
  <si>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</si>
  <si>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</si>
  <si>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</si>
  <si>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</si>
  <si>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</si>
  <si>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</si>
  <si>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</si>
  <si>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</si>
  <si>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</si>
  <si>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</si>
  <si>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</si>
  <si>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</si>
  <si>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</si>
  <si>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</si>
  <si>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</si>
  <si>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</si>
  <si>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</si>
  <si>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</si>
  <si>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</si>
  <si>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</si>
  <si>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</si>
  <si>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</si>
  <si>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</si>
  <si>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</si>
  <si>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</si>
  <si>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</si>
  <si>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</si>
  <si>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</si>
  <si>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</si>
  <si>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</si>
  <si>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</si>
  <si>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</si>
  <si>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</si>
  <si>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</si>
  <si>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</si>
  <si>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</si>
  <si>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</si>
  <si>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</si>
  <si>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</si>
  <si>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</si>
  <si>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</si>
  <si>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</si>
  <si>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</si>
  <si>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</si>
  <si>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</si>
  <si>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</si>
  <si>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</si>
  <si>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</si>
  <si>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</si>
  <si>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</si>
  <si>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</si>
  <si>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</si>
  <si>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</si>
  <si>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</si>
  <si>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</si>
  <si>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</si>
  <si>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</si>
  <si>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</si>
  <si>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</si>
  <si>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</si>
  <si>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</si>
  <si>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</si>
  <si>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</si>
  <si>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</si>
  <si>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</si>
  <si>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</si>
  <si>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</si>
  <si>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</si>
  <si>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</si>
  <si>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</si>
  <si>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</si>
  <si>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</si>
  <si>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</si>
  <si>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</si>
  <si>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</si>
  <si>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</si>
  <si>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</si>
  <si>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</si>
  <si>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</si>
  <si>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</si>
  <si>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</si>
  <si>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</si>
  <si>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</si>
  <si>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</si>
  <si>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</si>
  <si>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</si>
  <si>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</si>
  <si>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</si>
  <si>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</si>
  <si>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</si>
  <si>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</si>
  <si>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</si>
  <si>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</si>
  <si>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</si>
  <si>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</si>
  <si>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</si>
  <si>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</si>
  <si>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</si>
  <si>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</si>
  <si>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</si>
  <si>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</si>
  <si>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</si>
  <si>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</si>
  <si>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</si>
  <si>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</si>
  <si>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</si>
  <si>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</si>
  <si>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</si>
  <si>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</si>
  <si>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</si>
  <si>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</si>
  <si>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</si>
  <si>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</si>
  <si>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</si>
  <si>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</si>
  <si>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</si>
  <si>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</si>
  <si>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</si>
  <si>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</si>
  <si>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</si>
  <si>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</si>
  <si>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</si>
  <si>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</si>
  <si>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</si>
  <si>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</si>
  <si>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</si>
  <si>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</si>
  <si>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</si>
  <si>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</si>
  <si>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</si>
  <si>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</si>
  <si>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</si>
  <si>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</si>
  <si>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</si>
  <si>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</si>
  <si>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</si>
  <si>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</si>
  <si>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</si>
  <si>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</si>
  <si>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</si>
  <si>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</si>
  <si>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</si>
  <si>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</si>
  <si>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</si>
  <si>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DGV_OTCB_OTP1_IND7</t>
  </si>
  <si>
    <t>DGV_OTCB_OTP1_IND8</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</si>
  <si>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</si>
  <si>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</si>
  <si>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</si>
  <si>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</si>
  <si>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</si>
  <si>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</si>
  <si>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</si>
  <si>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</si>
  <si>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</si>
  <si>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</si>
  <si>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</si>
  <si>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</si>
  <si>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</si>
  <si>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</si>
  <si>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</si>
  <si>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</si>
  <si>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</si>
  <si>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</si>
  <si>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</si>
  <si>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</si>
  <si>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</si>
  <si>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</si>
  <si>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</si>
  <si>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</si>
  <si>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</si>
  <si>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</si>
  <si>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</si>
  <si>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</si>
  <si>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</si>
  <si>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</si>
  <si>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</si>
  <si>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</si>
  <si>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</si>
  <si>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</si>
  <si>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</si>
  <si>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</si>
  <si>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</si>
  <si>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</si>
  <si>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</si>
  <si>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</si>
  <si>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</si>
  <si>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</si>
  <si>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</si>
  <si>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</si>
  <si>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</si>
  <si>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</si>
  <si>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</si>
  <si>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</si>
  <si>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</si>
  <si>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</si>
  <si>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</si>
  <si>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</si>
  <si>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</si>
  <si>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</si>
  <si>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</si>
  <si>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</si>
  <si>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</si>
  <si>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</si>
  <si>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</si>
  <si>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</si>
  <si>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</si>
  <si>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</si>
  <si>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</si>
  <si>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</si>
  <si>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</si>
  <si>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</si>
  <si>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</si>
  <si>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</si>
  <si>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</si>
  <si>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</si>
  <si>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</si>
  <si>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</si>
  <si>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</si>
  <si>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</si>
  <si>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</si>
  <si>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</si>
  <si>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</si>
  <si>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</si>
  <si>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</si>
  <si>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</si>
  <si>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</si>
  <si>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</si>
  <si>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</si>
  <si>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</si>
  <si>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</si>
  <si>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</si>
  <si>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</si>
  <si>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</si>
  <si>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</si>
  <si>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</si>
  <si>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</si>
  <si>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</si>
  <si>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</si>
  <si>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</si>
  <si>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</si>
  <si>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</si>
  <si>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</si>
  <si>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</si>
  <si>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</si>
  <si>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</si>
  <si>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</si>
  <si>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</si>
  <si>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</si>
  <si>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</si>
  <si>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</si>
  <si>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</si>
  <si>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</si>
  <si>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</si>
  <si>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</si>
  <si>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</si>
  <si>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</si>
  <si>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</si>
  <si>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</si>
  <si>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</si>
  <si>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</si>
  <si>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</si>
  <si>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</si>
  <si>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</si>
  <si>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</si>
  <si>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</si>
  <si>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</si>
  <si>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</si>
  <si>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</si>
  <si>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</si>
  <si>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</si>
  <si>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</si>
  <si>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</si>
  <si>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</si>
  <si>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</si>
  <si>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Restoration of Cultural Monuments</t>
  </si>
  <si>
    <t>Number of local craftmen involved in project</t>
  </si>
  <si>
    <t>Number of educational institution involved in project</t>
  </si>
  <si>
    <t xml:space="preserve">Number of cultural activities carried out within the project which are addressing cultural heritage of minorities </t>
  </si>
  <si>
    <t>Number of cultural activities with a specific focus on combating extremism, radicalisation, hate speech</t>
  </si>
  <si>
    <t>Number of established cultural centres</t>
  </si>
  <si>
    <t>Number of established residential centres for artists</t>
  </si>
  <si>
    <t>Entrepreneurship Strategy</t>
  </si>
  <si>
    <t>Questionnaire</t>
  </si>
  <si>
    <t>Grantové miery</t>
  </si>
  <si>
    <t>Not-for-profit Sector</t>
  </si>
  <si>
    <t>Description of Activity 2</t>
  </si>
  <si>
    <t>Number of materials summarizing achieved results of the project</t>
  </si>
  <si>
    <t>Direct expenditure (EUR)</t>
  </si>
  <si>
    <t>I hereby declare that no significant change shall occur in the period from the submission of the Application until the conclusion of the Project Contract, which:</t>
  </si>
  <si>
    <t>PROJECT BUDGET - DIRECT EXPENDITURE</t>
  </si>
  <si>
    <t>Direct Expenditure:</t>
  </si>
  <si>
    <t>DIRECT EXPENDITURE</t>
  </si>
  <si>
    <t>% TOTAL COSTS</t>
  </si>
  <si>
    <t>% of DIRECT EXPENDITURE</t>
  </si>
  <si>
    <t>13. Statutory declaration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</si>
</sst>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8">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3" fontId="23" fillId="0" borderId="19" xfId="0" applyNumberFormat="1" applyFont="1" applyFill="1" applyBorder="1" applyAlignment="1" applyProtection="1">
      <alignment horizontal="center" vertical="center"/>
    </xf>
    <xf numFmtId="3" fontId="23" fillId="0" borderId="19" xfId="0" applyNumberFormat="1" applyFont="1" applyFill="1" applyBorder="1" applyAlignment="1" applyProtection="1">
      <alignment horizontal="center"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0" borderId="20" xfId="0" applyNumberFormat="1" applyFont="1" applyFill="1" applyBorder="1" applyAlignment="1" applyProtection="1">
      <alignment vertical="center" wrapText="1"/>
    </xf>
    <xf numFmtId="0" fontId="0" fillId="0" borderId="18" xfId="0" applyFill="1" applyBorder="1" applyAlignment="1" applyProtection="1">
      <alignment vertical="center" wrapText="1"/>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0" borderId="20" xfId="0" applyNumberFormat="1" applyFont="1" applyFill="1" applyBorder="1" applyAlignment="1" applyProtection="1">
      <alignment horizontal="center" vertical="center" wrapText="1"/>
    </xf>
    <xf numFmtId="49" fontId="20" fillId="0" borderId="21"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49" fontId="21" fillId="28" borderId="20" xfId="0" applyNumberFormat="1" applyFont="1" applyFill="1" applyBorder="1" applyAlignment="1" applyProtection="1">
      <alignment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0" fontId="1" fillId="26" borderId="20" xfId="0" applyFont="1" applyFill="1" applyBorder="1" applyAlignment="1" applyProtection="1">
      <alignmen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1" xfId="0" applyFill="1" applyBorder="1" applyAlignment="1" applyProtection="1">
      <alignment vertical="center" wrapText="1"/>
    </xf>
    <xf numFmtId="0" fontId="0" fillId="0" borderId="20"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0" borderId="20" xfId="0" applyFill="1" applyBorder="1" applyAlignment="1" applyProtection="1">
      <alignment horizontal="center" vertical="center"/>
    </xf>
    <xf numFmtId="0" fontId="0" fillId="0" borderId="21" xfId="0" applyFill="1" applyBorder="1" applyAlignment="1" applyProtection="1">
      <alignment horizontal="center" vertical="center"/>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57">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81613312"/>
        <c:axId val="181614848"/>
      </c:barChart>
      <c:catAx>
        <c:axId val="181613312"/>
        <c:scaling>
          <c:orientation val="maxMin"/>
        </c:scaling>
        <c:delete val="1"/>
        <c:axPos val="l"/>
        <c:numFmt formatCode="General" sourceLinked="1"/>
        <c:majorTickMark val="none"/>
        <c:minorTickMark val="none"/>
        <c:tickLblPos val="nextTo"/>
        <c:crossAx val="181614848"/>
        <c:crosses val="autoZero"/>
        <c:auto val="1"/>
        <c:lblAlgn val="ctr"/>
        <c:lblOffset val="100"/>
        <c:noMultiLvlLbl val="0"/>
      </c:catAx>
      <c:valAx>
        <c:axId val="181614848"/>
        <c:scaling>
          <c:orientation val="minMax"/>
          <c:max val="48"/>
          <c:min val="0"/>
        </c:scaling>
        <c:delete val="0"/>
        <c:axPos val="t"/>
        <c:majorGridlines>
          <c:spPr>
            <a:ln>
              <a:noFill/>
            </a:ln>
          </c:spPr>
        </c:majorGridlines>
        <c:numFmt formatCode="General" sourceLinked="0"/>
        <c:majorTickMark val="none"/>
        <c:minorTickMark val="none"/>
        <c:tickLblPos val="nextTo"/>
        <c:crossAx val="181613312"/>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B7" sqref="B7:L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608" t="s">
        <v>436</v>
      </c>
      <c r="D1" s="608"/>
      <c r="E1" s="608"/>
      <c r="F1" s="608"/>
      <c r="G1" s="608"/>
      <c r="H1" s="608"/>
      <c r="I1" s="608"/>
      <c r="J1" s="608"/>
      <c r="K1" s="608"/>
      <c r="L1" s="608"/>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1031</v>
      </c>
      <c r="K3" s="23" t="s">
        <v>1033</v>
      </c>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618"/>
      <c r="C7" s="619"/>
      <c r="D7" s="619"/>
      <c r="E7" s="619"/>
      <c r="F7" s="619"/>
      <c r="G7" s="619"/>
      <c r="H7" s="619"/>
      <c r="I7" s="619"/>
      <c r="J7" s="619"/>
      <c r="K7" s="619"/>
      <c r="L7" s="620"/>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CLT</v>
      </c>
      <c r="C11" s="35"/>
      <c r="D11" s="615" t="s">
        <v>862</v>
      </c>
      <c r="E11" s="616"/>
      <c r="F11" s="616"/>
      <c r="G11" s="616"/>
      <c r="H11" s="616"/>
      <c r="I11" s="616"/>
      <c r="J11" s="616"/>
      <c r="K11" s="617"/>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CLT_OTC1</v>
      </c>
      <c r="C15" s="35"/>
      <c r="D15" s="615" t="s">
        <v>871</v>
      </c>
      <c r="E15" s="616"/>
      <c r="F15" s="616"/>
      <c r="G15" s="616"/>
      <c r="H15" s="616"/>
      <c r="I15" s="616"/>
      <c r="J15" s="616"/>
      <c r="K15" s="617"/>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615" t="s">
        <v>882</v>
      </c>
      <c r="E20" s="616"/>
      <c r="F20" s="616"/>
      <c r="G20" s="616"/>
      <c r="H20" s="616"/>
      <c r="I20" s="616"/>
      <c r="J20" s="616"/>
      <c r="K20" s="617"/>
      <c r="L20" s="36"/>
      <c r="N20" s="405"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6"/>
    </row>
    <row r="22" spans="2:14" s="27" customFormat="1" ht="3.95" hidden="1" customHeight="1" x14ac:dyDescent="0.2">
      <c r="B22" s="28"/>
      <c r="C22" s="29"/>
      <c r="D22" s="30"/>
      <c r="E22" s="30"/>
      <c r="F22" s="30"/>
      <c r="G22" s="30"/>
      <c r="H22" s="30"/>
      <c r="I22" s="30"/>
      <c r="J22" s="30"/>
      <c r="K22" s="30"/>
      <c r="L22" s="31"/>
      <c r="N22" s="406"/>
    </row>
    <row r="23" spans="2:14" s="27" customFormat="1" ht="55.5" hidden="1" customHeight="1" x14ac:dyDescent="0.2">
      <c r="B23" s="28"/>
      <c r="C23" s="35" t="s">
        <v>70</v>
      </c>
      <c r="D23" s="622"/>
      <c r="E23" s="623"/>
      <c r="F23" s="623"/>
      <c r="G23" s="623"/>
      <c r="H23" s="623"/>
      <c r="I23" s="623"/>
      <c r="J23" s="623"/>
      <c r="K23" s="624"/>
      <c r="L23" s="36"/>
      <c r="N23" s="405" t="str">
        <f>IF(COUNTIF($D$20:$D$30,D23)&gt;1,"The same output was selected more than once. /  Rovnaký výsledok bol vybraný viac ako jedenkrát","")</f>
        <v/>
      </c>
    </row>
    <row r="24" spans="2:14" s="27" customFormat="1" ht="3.95" hidden="1" customHeight="1" x14ac:dyDescent="0.2">
      <c r="B24" s="37"/>
      <c r="C24" s="38"/>
      <c r="D24" s="39"/>
      <c r="E24" s="38"/>
      <c r="F24" s="38"/>
      <c r="G24" s="38"/>
      <c r="H24" s="38"/>
      <c r="I24" s="38"/>
      <c r="J24" s="38"/>
      <c r="K24" s="38"/>
      <c r="L24" s="40"/>
      <c r="N24" s="406"/>
    </row>
    <row r="25" spans="2:14" s="27" customFormat="1" ht="3.95" hidden="1" customHeight="1" x14ac:dyDescent="0.2">
      <c r="B25" s="28"/>
      <c r="C25" s="29"/>
      <c r="D25" s="30"/>
      <c r="E25" s="30"/>
      <c r="F25" s="30"/>
      <c r="G25" s="30"/>
      <c r="H25" s="30"/>
      <c r="I25" s="30"/>
      <c r="J25" s="30"/>
      <c r="K25" s="30"/>
      <c r="L25" s="31"/>
      <c r="N25" s="406"/>
    </row>
    <row r="26" spans="2:14" s="27" customFormat="1" ht="55.5" hidden="1" customHeight="1" x14ac:dyDescent="0.2">
      <c r="B26" s="28"/>
      <c r="C26" s="35" t="s">
        <v>70</v>
      </c>
      <c r="D26" s="622"/>
      <c r="E26" s="623"/>
      <c r="F26" s="623"/>
      <c r="G26" s="623"/>
      <c r="H26" s="623"/>
      <c r="I26" s="623"/>
      <c r="J26" s="623"/>
      <c r="K26" s="624"/>
      <c r="L26" s="36"/>
      <c r="N26" s="405"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6"/>
    </row>
    <row r="28" spans="2:14" s="27" customFormat="1" ht="3.95" hidden="1" customHeight="1" x14ac:dyDescent="0.2">
      <c r="B28" s="28"/>
      <c r="C28" s="29"/>
      <c r="D28" s="30"/>
      <c r="E28" s="30"/>
      <c r="F28" s="30"/>
      <c r="G28" s="30"/>
      <c r="H28" s="30"/>
      <c r="I28" s="30"/>
      <c r="J28" s="30"/>
      <c r="K28" s="30"/>
      <c r="L28" s="31"/>
      <c r="N28" s="406"/>
    </row>
    <row r="29" spans="2:14" s="27" customFormat="1" ht="55.5" hidden="1" customHeight="1" x14ac:dyDescent="0.2">
      <c r="B29" s="28"/>
      <c r="C29" s="35" t="s">
        <v>70</v>
      </c>
      <c r="D29" s="622"/>
      <c r="E29" s="623"/>
      <c r="F29" s="623"/>
      <c r="G29" s="623"/>
      <c r="H29" s="623"/>
      <c r="I29" s="623"/>
      <c r="J29" s="623"/>
      <c r="K29" s="624"/>
      <c r="L29" s="36"/>
      <c r="N29" s="405"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5" t="s">
        <v>201</v>
      </c>
      <c r="D35" s="626"/>
      <c r="E35" s="627"/>
      <c r="F35" s="479"/>
      <c r="G35" s="464"/>
      <c r="H35" s="464"/>
      <c r="I35" s="464"/>
      <c r="J35" s="464"/>
      <c r="K35" s="465"/>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5" t="s">
        <v>71</v>
      </c>
      <c r="D37" s="626"/>
      <c r="E37" s="627"/>
      <c r="F37" s="479"/>
      <c r="G37" s="464"/>
      <c r="H37" s="464"/>
      <c r="I37" s="464"/>
      <c r="J37" s="464"/>
      <c r="K37" s="465"/>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5" t="s">
        <v>72</v>
      </c>
      <c r="D39" s="626"/>
      <c r="E39" s="627"/>
      <c r="F39" s="479"/>
      <c r="G39" s="464"/>
      <c r="H39" s="464"/>
      <c r="I39" s="464"/>
      <c r="J39" s="464"/>
      <c r="K39" s="465"/>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5" t="s">
        <v>72</v>
      </c>
      <c r="D41" s="626"/>
      <c r="E41" s="627"/>
      <c r="F41" s="479"/>
      <c r="G41" s="464"/>
      <c r="H41" s="464"/>
      <c r="I41" s="464"/>
      <c r="J41" s="464"/>
      <c r="K41" s="465"/>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5" t="s">
        <v>72</v>
      </c>
      <c r="D43" s="626"/>
      <c r="E43" s="627"/>
      <c r="F43" s="479"/>
      <c r="G43" s="464"/>
      <c r="H43" s="464"/>
      <c r="I43" s="464"/>
      <c r="J43" s="464"/>
      <c r="K43" s="465"/>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5" t="s">
        <v>202</v>
      </c>
      <c r="D47" s="626"/>
      <c r="E47" s="627"/>
      <c r="F47" s="479"/>
      <c r="G47" s="464"/>
      <c r="H47" s="464"/>
      <c r="I47" s="464"/>
      <c r="J47" s="464"/>
      <c r="K47" s="465"/>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5" t="s">
        <v>71</v>
      </c>
      <c r="D49" s="626"/>
      <c r="E49" s="626"/>
      <c r="F49" s="479"/>
      <c r="G49" s="464"/>
      <c r="H49" s="464"/>
      <c r="I49" s="464"/>
      <c r="J49" s="464"/>
      <c r="K49" s="465"/>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8"/>
      <c r="D52" s="629"/>
      <c r="E52" s="629"/>
      <c r="F52" s="629"/>
      <c r="G52" s="629"/>
      <c r="H52" s="629"/>
      <c r="I52" s="629"/>
      <c r="J52" s="629"/>
      <c r="K52" s="630"/>
      <c r="L52" s="46"/>
    </row>
    <row r="53" spans="2:12" s="27" customFormat="1" ht="3.95" customHeight="1" x14ac:dyDescent="0.2">
      <c r="B53" s="28"/>
      <c r="C53" s="631"/>
      <c r="D53" s="632"/>
      <c r="E53" s="632"/>
      <c r="F53" s="632"/>
      <c r="G53" s="632"/>
      <c r="H53" s="632"/>
      <c r="I53" s="632"/>
      <c r="J53" s="632"/>
      <c r="K53" s="633"/>
      <c r="L53" s="31"/>
    </row>
    <row r="54" spans="2:12" ht="18" customHeight="1" x14ac:dyDescent="0.2">
      <c r="B54" s="1"/>
      <c r="C54" s="631"/>
      <c r="D54" s="632"/>
      <c r="E54" s="632"/>
      <c r="F54" s="632"/>
      <c r="G54" s="632"/>
      <c r="H54" s="632"/>
      <c r="I54" s="632"/>
      <c r="J54" s="632"/>
      <c r="K54" s="633"/>
      <c r="L54" s="46"/>
    </row>
    <row r="55" spans="2:12" s="27" customFormat="1" ht="3.95" customHeight="1" x14ac:dyDescent="0.2">
      <c r="B55" s="28"/>
      <c r="C55" s="631"/>
      <c r="D55" s="632"/>
      <c r="E55" s="632"/>
      <c r="F55" s="632"/>
      <c r="G55" s="632"/>
      <c r="H55" s="632"/>
      <c r="I55" s="632"/>
      <c r="J55" s="632"/>
      <c r="K55" s="633"/>
      <c r="L55" s="31"/>
    </row>
    <row r="56" spans="2:12" ht="18" customHeight="1" x14ac:dyDescent="0.2">
      <c r="B56" s="1"/>
      <c r="C56" s="631"/>
      <c r="D56" s="632"/>
      <c r="E56" s="632"/>
      <c r="F56" s="632"/>
      <c r="G56" s="632"/>
      <c r="H56" s="632"/>
      <c r="I56" s="632"/>
      <c r="J56" s="632"/>
      <c r="K56" s="633"/>
      <c r="L56" s="46"/>
    </row>
    <row r="57" spans="2:12" s="27" customFormat="1" ht="3.95" customHeight="1" x14ac:dyDescent="0.2">
      <c r="B57" s="28"/>
      <c r="C57" s="631"/>
      <c r="D57" s="632"/>
      <c r="E57" s="632"/>
      <c r="F57" s="632"/>
      <c r="G57" s="632"/>
      <c r="H57" s="632"/>
      <c r="I57" s="632"/>
      <c r="J57" s="632"/>
      <c r="K57" s="633"/>
      <c r="L57" s="31"/>
    </row>
    <row r="58" spans="2:12" ht="18" customHeight="1" x14ac:dyDescent="0.2">
      <c r="B58" s="1"/>
      <c r="C58" s="631"/>
      <c r="D58" s="632"/>
      <c r="E58" s="632"/>
      <c r="F58" s="632"/>
      <c r="G58" s="632"/>
      <c r="H58" s="632"/>
      <c r="I58" s="632"/>
      <c r="J58" s="632"/>
      <c r="K58" s="633"/>
      <c r="L58" s="46"/>
    </row>
    <row r="59" spans="2:12" s="27" customFormat="1" ht="3.95" customHeight="1" x14ac:dyDescent="0.2">
      <c r="B59" s="28"/>
      <c r="C59" s="631"/>
      <c r="D59" s="632"/>
      <c r="E59" s="632"/>
      <c r="F59" s="632"/>
      <c r="G59" s="632"/>
      <c r="H59" s="632"/>
      <c r="I59" s="632"/>
      <c r="J59" s="632"/>
      <c r="K59" s="633"/>
      <c r="L59" s="31"/>
    </row>
    <row r="60" spans="2:12" ht="18" customHeight="1" x14ac:dyDescent="0.2">
      <c r="B60" s="1"/>
      <c r="C60" s="634"/>
      <c r="D60" s="635"/>
      <c r="E60" s="635"/>
      <c r="F60" s="635"/>
      <c r="G60" s="635"/>
      <c r="H60" s="635"/>
      <c r="I60" s="635"/>
      <c r="J60" s="635"/>
      <c r="K60" s="636"/>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0" t="s">
        <v>75</v>
      </c>
      <c r="C66" s="621"/>
      <c r="D66" s="609"/>
      <c r="E66" s="610"/>
      <c r="F66" s="610"/>
      <c r="G66" s="610"/>
      <c r="H66" s="610"/>
      <c r="I66" s="610"/>
      <c r="J66" s="610"/>
      <c r="K66" s="611"/>
      <c r="L66" s="46"/>
    </row>
    <row r="67" spans="1:12" ht="21" customHeight="1" x14ac:dyDescent="0.2">
      <c r="B67" s="570"/>
      <c r="C67" s="621"/>
      <c r="D67" s="612"/>
      <c r="E67" s="613"/>
      <c r="F67" s="613"/>
      <c r="G67" s="613"/>
      <c r="H67" s="613"/>
      <c r="I67" s="613"/>
      <c r="J67" s="613"/>
      <c r="K67" s="614"/>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70" t="s">
        <v>76</v>
      </c>
      <c r="C71" s="571"/>
      <c r="D71" s="571"/>
      <c r="E71" s="571"/>
      <c r="F71" s="621"/>
      <c r="G71" s="648"/>
      <c r="H71" s="649"/>
      <c r="I71" s="649"/>
      <c r="J71" s="649"/>
      <c r="K71" s="650"/>
      <c r="L71" s="46"/>
    </row>
    <row r="72" spans="1:12" ht="3.95" customHeight="1" x14ac:dyDescent="0.2">
      <c r="B72" s="1"/>
      <c r="C72" s="4"/>
      <c r="D72" s="2"/>
      <c r="E72" s="3"/>
      <c r="F72" s="3"/>
      <c r="G72" s="3"/>
      <c r="H72" s="3"/>
      <c r="I72" s="3"/>
      <c r="J72" s="3"/>
      <c r="K72" s="3"/>
      <c r="L72" s="58"/>
    </row>
    <row r="73" spans="1:12" ht="27" customHeight="1" x14ac:dyDescent="0.2">
      <c r="B73" s="570" t="s">
        <v>77</v>
      </c>
      <c r="C73" s="571"/>
      <c r="D73" s="571"/>
      <c r="E73" s="571"/>
      <c r="F73" s="571"/>
      <c r="G73" s="648"/>
      <c r="H73" s="649"/>
      <c r="I73" s="649"/>
      <c r="J73" s="649"/>
      <c r="K73" s="650"/>
      <c r="L73" s="46"/>
    </row>
    <row r="74" spans="1:12" ht="3.95" customHeight="1" x14ac:dyDescent="0.2">
      <c r="B74" s="1"/>
      <c r="C74" s="4"/>
      <c r="D74" s="2"/>
      <c r="E74" s="3"/>
      <c r="F74" s="3"/>
      <c r="G74" s="3"/>
      <c r="H74" s="3"/>
      <c r="I74" s="3"/>
      <c r="J74" s="3"/>
      <c r="K74" s="3"/>
      <c r="L74" s="58"/>
    </row>
    <row r="75" spans="1:12" ht="27" customHeight="1" x14ac:dyDescent="0.2">
      <c r="B75" s="570" t="s">
        <v>78</v>
      </c>
      <c r="C75" s="571"/>
      <c r="D75" s="571"/>
      <c r="E75" s="571"/>
      <c r="F75" s="571"/>
      <c r="G75" s="648"/>
      <c r="H75" s="649"/>
      <c r="I75" s="649"/>
      <c r="J75" s="649"/>
      <c r="K75" s="650"/>
      <c r="L75" s="46"/>
    </row>
    <row r="76" spans="1:12" ht="3.95" customHeight="1" x14ac:dyDescent="0.2">
      <c r="B76" s="1"/>
      <c r="C76" s="4"/>
      <c r="D76" s="2"/>
      <c r="E76" s="3"/>
      <c r="F76" s="3"/>
      <c r="G76" s="3"/>
      <c r="H76" s="3"/>
      <c r="I76" s="3"/>
      <c r="J76" s="3"/>
      <c r="K76" s="3"/>
      <c r="L76" s="566"/>
    </row>
    <row r="77" spans="1:12" ht="3.75" customHeight="1" x14ac:dyDescent="0.2">
      <c r="B77" s="1"/>
      <c r="C77" s="4"/>
      <c r="D77" s="2"/>
      <c r="E77" s="3"/>
      <c r="F77" s="3"/>
      <c r="G77" s="3"/>
      <c r="H77" s="3"/>
      <c r="I77" s="3"/>
      <c r="J77" s="3"/>
      <c r="K77" s="3"/>
      <c r="L77" s="566"/>
    </row>
    <row r="78" spans="1:12" ht="31.5" customHeight="1" x14ac:dyDescent="0.2">
      <c r="B78" s="570" t="s">
        <v>446</v>
      </c>
      <c r="C78" s="571"/>
      <c r="D78" s="571"/>
      <c r="E78" s="571"/>
      <c r="F78" s="571"/>
      <c r="G78" s="651"/>
      <c r="H78" s="651"/>
      <c r="I78" s="651"/>
      <c r="J78" s="59" t="s">
        <v>36</v>
      </c>
      <c r="K78" s="60"/>
      <c r="L78" s="46"/>
    </row>
    <row r="79" spans="1:12" ht="3.95" customHeight="1" x14ac:dyDescent="0.2">
      <c r="B79" s="1"/>
      <c r="C79" s="4"/>
      <c r="D79" s="2"/>
      <c r="E79" s="3"/>
      <c r="F79" s="3"/>
      <c r="G79" s="3"/>
      <c r="H79" s="3"/>
      <c r="I79" s="3"/>
      <c r="J79" s="3"/>
      <c r="K79" s="3"/>
      <c r="L79" s="58"/>
    </row>
    <row r="80" spans="1:12" ht="27" customHeight="1" x14ac:dyDescent="0.2">
      <c r="B80" s="570" t="s">
        <v>79</v>
      </c>
      <c r="C80" s="571"/>
      <c r="D80" s="571"/>
      <c r="E80" s="571"/>
      <c r="F80" s="571"/>
      <c r="G80" s="571"/>
      <c r="H80" s="621"/>
      <c r="I80" s="655"/>
      <c r="J80" s="656"/>
      <c r="K80" s="656"/>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642"/>
      <c r="E84" s="464"/>
      <c r="F84" s="464"/>
      <c r="G84" s="464"/>
      <c r="H84" s="464"/>
      <c r="I84" s="464"/>
      <c r="J84" s="464"/>
      <c r="K84" s="465"/>
      <c r="L84" s="46"/>
    </row>
    <row r="85" spans="2:12" ht="3.95" customHeight="1" x14ac:dyDescent="0.2">
      <c r="B85" s="570" t="s">
        <v>245</v>
      </c>
      <c r="C85" s="571"/>
      <c r="D85" s="4"/>
      <c r="E85" s="4"/>
      <c r="F85" s="4"/>
      <c r="G85" s="4"/>
      <c r="H85" s="4"/>
      <c r="I85" s="4"/>
      <c r="J85" s="4"/>
      <c r="K85" s="4"/>
      <c r="L85" s="6"/>
    </row>
    <row r="86" spans="2:12" ht="18" customHeight="1" x14ac:dyDescent="0.2">
      <c r="B86" s="570"/>
      <c r="C86" s="571"/>
      <c r="D86" s="272"/>
      <c r="E86" s="268"/>
      <c r="F86" s="1"/>
      <c r="G86" s="4"/>
      <c r="H86" s="4"/>
      <c r="I86" s="4"/>
      <c r="J86" s="4"/>
      <c r="K86" s="4"/>
      <c r="L86" s="46"/>
    </row>
    <row r="87" spans="2:12" ht="3.95" customHeight="1" x14ac:dyDescent="0.2">
      <c r="B87" s="570"/>
      <c r="C87" s="571"/>
      <c r="D87" s="4"/>
      <c r="E87" s="4"/>
      <c r="F87" s="4"/>
      <c r="G87" s="4"/>
      <c r="H87" s="4"/>
      <c r="I87" s="4"/>
      <c r="J87" s="4"/>
      <c r="K87" s="4"/>
      <c r="L87" s="6"/>
    </row>
    <row r="88" spans="2:12" ht="18" customHeight="1" x14ac:dyDescent="0.2">
      <c r="B88" s="1"/>
      <c r="C88" s="62" t="s">
        <v>82</v>
      </c>
      <c r="D88" s="640"/>
      <c r="E88" s="641"/>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642"/>
      <c r="E90" s="464"/>
      <c r="F90" s="464"/>
      <c r="G90" s="464"/>
      <c r="H90" s="464"/>
      <c r="I90" s="464"/>
      <c r="J90" s="464"/>
      <c r="K90" s="465"/>
      <c r="L90" s="46"/>
    </row>
    <row r="91" spans="2:12" ht="3.95" customHeight="1" x14ac:dyDescent="0.2">
      <c r="B91" s="1"/>
      <c r="C91" s="65"/>
      <c r="D91" s="61"/>
      <c r="E91" s="5"/>
      <c r="F91" s="5"/>
      <c r="G91" s="5"/>
      <c r="H91" s="5"/>
      <c r="I91" s="5"/>
      <c r="J91" s="5"/>
      <c r="K91" s="5"/>
      <c r="L91" s="58"/>
    </row>
    <row r="92" spans="2:12" ht="18" customHeight="1" x14ac:dyDescent="0.2">
      <c r="B92" s="1"/>
      <c r="C92" s="62" t="s">
        <v>84</v>
      </c>
      <c r="D92" s="652"/>
      <c r="E92" s="653"/>
      <c r="F92" s="653"/>
      <c r="G92" s="653"/>
      <c r="H92" s="653"/>
      <c r="I92" s="653"/>
      <c r="J92" s="653"/>
      <c r="K92" s="654"/>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637" t="s">
        <v>87</v>
      </c>
      <c r="F95" s="637"/>
      <c r="G95" s="637"/>
      <c r="H95" s="637" t="s">
        <v>88</v>
      </c>
      <c r="I95" s="637"/>
      <c r="J95" s="637"/>
      <c r="K95" s="637"/>
      <c r="L95" s="46"/>
    </row>
    <row r="96" spans="2:12" ht="18" customHeight="1" x14ac:dyDescent="0.2">
      <c r="B96" s="1"/>
      <c r="C96" s="62" t="s">
        <v>89</v>
      </c>
      <c r="D96" s="274"/>
      <c r="E96" s="479"/>
      <c r="F96" s="464"/>
      <c r="G96" s="464"/>
      <c r="H96" s="479"/>
      <c r="I96" s="464"/>
      <c r="J96" s="464"/>
      <c r="K96" s="465"/>
      <c r="L96" s="46"/>
    </row>
    <row r="97" spans="2:12" ht="3.95" customHeight="1" x14ac:dyDescent="0.2">
      <c r="B97" s="1"/>
      <c r="C97" s="4"/>
      <c r="D97" s="4"/>
      <c r="E97" s="4"/>
      <c r="F97" s="4"/>
      <c r="G97" s="4"/>
      <c r="H97" s="4"/>
      <c r="I97" s="4"/>
      <c r="J97" s="4"/>
      <c r="K97" s="4"/>
      <c r="L97" s="6"/>
    </row>
    <row r="98" spans="2:12" ht="18" customHeight="1" x14ac:dyDescent="0.2">
      <c r="B98" s="1"/>
      <c r="C98" s="62" t="s">
        <v>90</v>
      </c>
      <c r="D98" s="568"/>
      <c r="E98" s="569"/>
      <c r="F98" s="569"/>
      <c r="G98" s="569"/>
      <c r="H98" s="569"/>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68"/>
      <c r="E100" s="569"/>
      <c r="F100" s="569"/>
      <c r="G100" s="569"/>
      <c r="H100" s="569"/>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638"/>
      <c r="F103" s="639"/>
      <c r="G103" s="639"/>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638"/>
      <c r="F105" s="639"/>
      <c r="G105" s="639"/>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642"/>
      <c r="E109" s="464"/>
      <c r="F109" s="464"/>
      <c r="G109" s="464"/>
      <c r="H109" s="464"/>
      <c r="I109" s="464"/>
      <c r="J109" s="464"/>
      <c r="K109" s="465"/>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642"/>
      <c r="E111" s="464"/>
      <c r="F111" s="464"/>
      <c r="G111" s="464"/>
      <c r="H111" s="464"/>
      <c r="I111" s="464"/>
      <c r="J111" s="464"/>
      <c r="K111" s="465"/>
      <c r="L111" s="46"/>
    </row>
    <row r="112" spans="2:12" ht="3.95" customHeight="1" x14ac:dyDescent="0.2">
      <c r="B112" s="570" t="s">
        <v>245</v>
      </c>
      <c r="C112" s="571"/>
      <c r="D112" s="4"/>
      <c r="E112" s="4"/>
      <c r="F112" s="4"/>
      <c r="G112" s="4"/>
      <c r="H112" s="4"/>
      <c r="I112" s="4"/>
      <c r="J112" s="4"/>
      <c r="K112" s="4"/>
      <c r="L112" s="6"/>
    </row>
    <row r="113" spans="2:12" ht="18" customHeight="1" x14ac:dyDescent="0.2">
      <c r="B113" s="570"/>
      <c r="C113" s="571"/>
      <c r="D113" s="272"/>
      <c r="E113" s="268"/>
      <c r="F113" s="1"/>
      <c r="G113" s="4"/>
      <c r="H113" s="4"/>
      <c r="I113" s="4"/>
      <c r="J113" s="4"/>
      <c r="K113" s="4"/>
      <c r="L113" s="46"/>
    </row>
    <row r="114" spans="2:12" ht="3.95" customHeight="1" x14ac:dyDescent="0.2">
      <c r="B114" s="570"/>
      <c r="C114" s="571"/>
      <c r="D114" s="4"/>
      <c r="E114" s="4"/>
      <c r="F114" s="4"/>
      <c r="G114" s="4"/>
      <c r="H114" s="4"/>
      <c r="I114" s="4"/>
      <c r="J114" s="4"/>
      <c r="K114" s="4"/>
      <c r="L114" s="6"/>
    </row>
    <row r="115" spans="2:12" ht="18" customHeight="1" x14ac:dyDescent="0.2">
      <c r="B115" s="1"/>
      <c r="C115" s="62" t="s">
        <v>82</v>
      </c>
      <c r="D115" s="640"/>
      <c r="E115" s="641"/>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642"/>
      <c r="E117" s="464"/>
      <c r="F117" s="464"/>
      <c r="G117" s="464"/>
      <c r="H117" s="464"/>
      <c r="I117" s="464"/>
      <c r="J117" s="464"/>
      <c r="K117" s="465"/>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518"/>
      <c r="E160" s="519"/>
      <c r="F160" s="519"/>
      <c r="G160" s="519"/>
      <c r="H160" s="519"/>
      <c r="I160" s="519"/>
      <c r="J160" s="519"/>
      <c r="K160" s="520"/>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447</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449</v>
      </c>
      <c r="D217" s="72"/>
      <c r="E217" s="132"/>
      <c r="F217" s="132"/>
      <c r="G217" s="132"/>
      <c r="H217" s="132"/>
      <c r="I217" s="132"/>
      <c r="J217" s="132"/>
      <c r="K217" s="132"/>
      <c r="L217" s="181"/>
    </row>
    <row r="218" spans="2:14" ht="33" customHeight="1" x14ac:dyDescent="0.2">
      <c r="B218" s="188"/>
      <c r="C218" s="490" t="s">
        <v>1428</v>
      </c>
      <c r="D218" s="491"/>
      <c r="E218" s="491"/>
      <c r="F218" s="491"/>
      <c r="G218" s="491"/>
      <c r="H218" s="491"/>
      <c r="I218" s="491"/>
      <c r="J218" s="491"/>
      <c r="K218" s="657"/>
      <c r="L218" s="181"/>
      <c r="N218" s="407"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1117</v>
      </c>
      <c r="D220" s="72"/>
      <c r="E220" s="132"/>
      <c r="F220" s="132"/>
      <c r="G220" s="132"/>
      <c r="H220" s="132"/>
      <c r="I220" s="132"/>
      <c r="J220" s="132"/>
      <c r="K220" s="132"/>
      <c r="L220" s="181"/>
    </row>
    <row r="221" spans="2:14" ht="33" customHeight="1" x14ac:dyDescent="0.2">
      <c r="B221" s="188"/>
      <c r="C221" s="490" t="s">
        <v>882</v>
      </c>
      <c r="D221" s="491"/>
      <c r="E221" s="491"/>
      <c r="F221" s="491"/>
      <c r="G221" s="491"/>
      <c r="H221" s="394"/>
      <c r="I221" s="395"/>
      <c r="J221" s="395"/>
      <c r="K221" s="412"/>
      <c r="L221" s="181"/>
      <c r="N221" s="407"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448</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450</v>
      </c>
      <c r="D243" s="72"/>
      <c r="E243" s="132"/>
      <c r="F243" s="132"/>
      <c r="G243" s="132"/>
      <c r="H243" s="132"/>
      <c r="I243" s="132"/>
      <c r="J243" s="132"/>
      <c r="K243" s="132"/>
      <c r="L243" s="181"/>
    </row>
    <row r="244" spans="2:14" ht="33" customHeight="1" x14ac:dyDescent="0.2">
      <c r="B244" s="188"/>
      <c r="C244" s="565"/>
      <c r="D244" s="480"/>
      <c r="E244" s="480"/>
      <c r="F244" s="480"/>
      <c r="G244" s="480"/>
      <c r="H244" s="480"/>
      <c r="I244" s="480"/>
      <c r="J244" s="480"/>
      <c r="K244" s="481"/>
      <c r="L244" s="181"/>
      <c r="N244" s="407"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1117</v>
      </c>
      <c r="D246" s="72"/>
      <c r="E246" s="132"/>
      <c r="F246" s="132"/>
      <c r="G246" s="132"/>
      <c r="H246" s="132"/>
      <c r="I246" s="132"/>
      <c r="J246" s="132"/>
      <c r="K246" s="132"/>
      <c r="L246" s="181"/>
    </row>
    <row r="247" spans="2:14" ht="33" customHeight="1" x14ac:dyDescent="0.2">
      <c r="B247" s="188"/>
      <c r="C247" s="490" t="s">
        <v>882</v>
      </c>
      <c r="D247" s="491"/>
      <c r="E247" s="491"/>
      <c r="F247" s="491"/>
      <c r="G247" s="491"/>
      <c r="H247" s="394"/>
      <c r="I247" s="395"/>
      <c r="J247" s="395"/>
      <c r="K247" s="395"/>
      <c r="L247" s="181"/>
      <c r="N247" s="407"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1439</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451</v>
      </c>
      <c r="D271" s="72"/>
      <c r="E271" s="132"/>
      <c r="F271" s="132"/>
      <c r="G271" s="132"/>
      <c r="H271" s="132"/>
      <c r="I271" s="132"/>
      <c r="J271" s="132"/>
      <c r="K271" s="132"/>
      <c r="L271" s="368"/>
    </row>
    <row r="272" spans="2:14" ht="33" customHeight="1" x14ac:dyDescent="0.2">
      <c r="B272" s="188"/>
      <c r="C272" s="565"/>
      <c r="D272" s="480"/>
      <c r="E272" s="480"/>
      <c r="F272" s="480"/>
      <c r="G272" s="480"/>
      <c r="H272" s="480"/>
      <c r="I272" s="480"/>
      <c r="J272" s="480"/>
      <c r="K272" s="481"/>
      <c r="L272" s="181"/>
      <c r="N272" s="407" t="str">
        <f>IF(AND(Activity3_Name&lt;&gt;"",output_relates_activity3=""),"Assign activity to the related output. / Priraďte aktivitu k výsledku.","")</f>
        <v/>
      </c>
    </row>
    <row r="273" spans="2:14" s="78" customFormat="1" ht="4.5" customHeight="1" x14ac:dyDescent="0.2">
      <c r="B273" s="102"/>
      <c r="C273" s="472"/>
      <c r="D273" s="473"/>
      <c r="E273" s="473"/>
      <c r="F273" s="473"/>
      <c r="G273" s="473"/>
      <c r="H273" s="97"/>
      <c r="I273" s="97"/>
      <c r="J273" s="97"/>
      <c r="K273" s="97"/>
      <c r="L273" s="101"/>
    </row>
    <row r="274" spans="2:14" ht="18" customHeight="1" x14ac:dyDescent="0.2">
      <c r="B274" s="192"/>
      <c r="C274" s="370" t="s">
        <v>1117</v>
      </c>
      <c r="D274" s="72"/>
      <c r="E274" s="132"/>
      <c r="F274" s="132"/>
      <c r="G274" s="132"/>
      <c r="H274" s="132"/>
      <c r="I274" s="132"/>
      <c r="J274" s="132"/>
      <c r="K274" s="132"/>
      <c r="L274" s="181"/>
    </row>
    <row r="275" spans="2:14" ht="33" customHeight="1" x14ac:dyDescent="0.2">
      <c r="B275" s="188"/>
      <c r="C275" s="490" t="s">
        <v>882</v>
      </c>
      <c r="D275" s="491"/>
      <c r="E275" s="491"/>
      <c r="F275" s="491"/>
      <c r="G275" s="491"/>
      <c r="H275" s="394"/>
      <c r="I275" s="395"/>
      <c r="J275" s="395"/>
      <c r="K275" s="395"/>
      <c r="L275" s="181"/>
      <c r="N275" s="407"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452</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453</v>
      </c>
      <c r="D297" s="72"/>
      <c r="E297" s="132"/>
      <c r="F297" s="132"/>
      <c r="G297" s="132"/>
      <c r="H297" s="132"/>
      <c r="I297" s="132"/>
      <c r="J297" s="132"/>
      <c r="K297" s="132"/>
      <c r="L297" s="181"/>
    </row>
    <row r="298" spans="2:14" ht="33" customHeight="1" x14ac:dyDescent="0.2">
      <c r="B298" s="188"/>
      <c r="C298" s="565"/>
      <c r="D298" s="480"/>
      <c r="E298" s="480"/>
      <c r="F298" s="480"/>
      <c r="G298" s="480"/>
      <c r="H298" s="480"/>
      <c r="I298" s="480"/>
      <c r="J298" s="480"/>
      <c r="K298" s="481"/>
      <c r="L298" s="181"/>
      <c r="N298" s="407"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1117</v>
      </c>
      <c r="D300" s="72"/>
      <c r="E300" s="132"/>
      <c r="F300" s="132"/>
      <c r="G300" s="132"/>
      <c r="H300" s="132"/>
      <c r="I300" s="132"/>
      <c r="J300" s="132"/>
      <c r="K300" s="132"/>
      <c r="L300" s="181"/>
    </row>
    <row r="301" spans="2:14" ht="33" customHeight="1" x14ac:dyDescent="0.2">
      <c r="B301" s="188"/>
      <c r="C301" s="490" t="s">
        <v>882</v>
      </c>
      <c r="D301" s="491"/>
      <c r="E301" s="491"/>
      <c r="F301" s="491"/>
      <c r="G301" s="491"/>
      <c r="H301" s="394"/>
      <c r="I301" s="395"/>
      <c r="J301" s="395"/>
      <c r="K301" s="395"/>
      <c r="L301" s="181"/>
      <c r="N301" s="407"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454</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455</v>
      </c>
      <c r="D326" s="173"/>
      <c r="E326" s="93"/>
      <c r="F326" s="93"/>
      <c r="G326" s="93"/>
      <c r="H326" s="93"/>
      <c r="I326" s="93"/>
      <c r="J326" s="93"/>
      <c r="K326" s="93"/>
      <c r="L326" s="175"/>
    </row>
    <row r="327" spans="2:14" ht="33" customHeight="1" x14ac:dyDescent="0.2">
      <c r="B327" s="188"/>
      <c r="C327" s="565"/>
      <c r="D327" s="480"/>
      <c r="E327" s="480"/>
      <c r="F327" s="480"/>
      <c r="G327" s="480"/>
      <c r="H327" s="480"/>
      <c r="I327" s="480"/>
      <c r="J327" s="480"/>
      <c r="K327" s="481"/>
      <c r="L327" s="181"/>
      <c r="N327" s="407"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1117</v>
      </c>
      <c r="D329" s="72"/>
      <c r="E329" s="132"/>
      <c r="F329" s="132"/>
      <c r="G329" s="132"/>
      <c r="H329" s="132"/>
      <c r="I329" s="132"/>
      <c r="J329" s="132"/>
      <c r="K329" s="132"/>
      <c r="L329" s="181"/>
    </row>
    <row r="330" spans="2:14" ht="33" customHeight="1" x14ac:dyDescent="0.2">
      <c r="B330" s="188"/>
      <c r="C330" s="490" t="s">
        <v>882</v>
      </c>
      <c r="D330" s="491"/>
      <c r="E330" s="491"/>
      <c r="F330" s="491"/>
      <c r="G330" s="491"/>
      <c r="H330" s="394"/>
      <c r="I330" s="395"/>
      <c r="J330" s="395"/>
      <c r="K330" s="395"/>
      <c r="L330" s="181"/>
      <c r="N330" s="407"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456</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457</v>
      </c>
      <c r="D352" s="72"/>
      <c r="E352" s="132"/>
      <c r="F352" s="132"/>
      <c r="G352" s="132"/>
      <c r="H352" s="132"/>
      <c r="I352" s="132"/>
      <c r="J352" s="132"/>
      <c r="K352" s="132"/>
      <c r="L352" s="181"/>
    </row>
    <row r="353" spans="2:14" ht="33" customHeight="1" x14ac:dyDescent="0.2">
      <c r="B353" s="188"/>
      <c r="C353" s="565"/>
      <c r="D353" s="480"/>
      <c r="E353" s="480"/>
      <c r="F353" s="480"/>
      <c r="G353" s="480"/>
      <c r="H353" s="480"/>
      <c r="I353" s="480"/>
      <c r="J353" s="480"/>
      <c r="K353" s="481"/>
      <c r="L353" s="181"/>
      <c r="N353" s="407"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1117</v>
      </c>
      <c r="D355" s="72"/>
      <c r="E355" s="132"/>
      <c r="F355" s="132"/>
      <c r="G355" s="132"/>
      <c r="H355" s="132"/>
      <c r="I355" s="132"/>
      <c r="J355" s="132"/>
      <c r="K355" s="132"/>
      <c r="L355" s="181"/>
    </row>
    <row r="356" spans="2:14" ht="33" customHeight="1" x14ac:dyDescent="0.2">
      <c r="B356" s="188"/>
      <c r="C356" s="490" t="s">
        <v>882</v>
      </c>
      <c r="D356" s="491"/>
      <c r="E356" s="491"/>
      <c r="F356" s="491"/>
      <c r="G356" s="491"/>
      <c r="H356" s="394"/>
      <c r="I356" s="395"/>
      <c r="J356" s="395"/>
      <c r="K356" s="395"/>
      <c r="L356" s="181"/>
      <c r="N356" s="407"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458</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459</v>
      </c>
      <c r="D381" s="72"/>
      <c r="E381" s="132"/>
      <c r="F381" s="132"/>
      <c r="G381" s="132"/>
      <c r="H381" s="132"/>
      <c r="I381" s="132"/>
      <c r="J381" s="132"/>
      <c r="K381" s="132"/>
      <c r="L381" s="181"/>
    </row>
    <row r="382" spans="2:14" ht="33" customHeight="1" x14ac:dyDescent="0.2">
      <c r="B382" s="188"/>
      <c r="C382" s="565"/>
      <c r="D382" s="480"/>
      <c r="E382" s="480"/>
      <c r="F382" s="480"/>
      <c r="G382" s="480"/>
      <c r="H382" s="480"/>
      <c r="I382" s="480"/>
      <c r="J382" s="480"/>
      <c r="K382" s="481"/>
      <c r="L382" s="181"/>
      <c r="N382" s="407"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1117</v>
      </c>
      <c r="D384" s="72"/>
      <c r="E384" s="132"/>
      <c r="F384" s="132"/>
      <c r="G384" s="132"/>
      <c r="H384" s="132"/>
      <c r="I384" s="132"/>
      <c r="J384" s="132"/>
      <c r="K384" s="132"/>
      <c r="L384" s="181"/>
    </row>
    <row r="385" spans="2:14" ht="33" customHeight="1" x14ac:dyDescent="0.2">
      <c r="B385" s="188"/>
      <c r="C385" s="490" t="s">
        <v>882</v>
      </c>
      <c r="D385" s="491"/>
      <c r="E385" s="491"/>
      <c r="F385" s="491"/>
      <c r="G385" s="491"/>
      <c r="H385" s="394"/>
      <c r="I385" s="395"/>
      <c r="J385" s="395"/>
      <c r="K385" s="395"/>
      <c r="L385" s="181"/>
      <c r="N385" s="407"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460</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461</v>
      </c>
      <c r="D407" s="72"/>
      <c r="E407" s="132"/>
      <c r="F407" s="132"/>
      <c r="G407" s="132"/>
      <c r="H407" s="132"/>
      <c r="I407" s="132"/>
      <c r="J407" s="132"/>
      <c r="K407" s="132"/>
      <c r="L407" s="181"/>
    </row>
    <row r="408" spans="2:14" ht="33" customHeight="1" x14ac:dyDescent="0.2">
      <c r="B408" s="188"/>
      <c r="C408" s="565"/>
      <c r="D408" s="480"/>
      <c r="E408" s="480"/>
      <c r="F408" s="480"/>
      <c r="G408" s="480"/>
      <c r="H408" s="480"/>
      <c r="I408" s="480"/>
      <c r="J408" s="480"/>
      <c r="K408" s="481"/>
      <c r="L408" s="181"/>
      <c r="N408" s="407"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1117</v>
      </c>
      <c r="D410" s="72"/>
      <c r="E410" s="132"/>
      <c r="F410" s="132"/>
      <c r="G410" s="132"/>
      <c r="H410" s="132"/>
      <c r="I410" s="132"/>
      <c r="J410" s="132"/>
      <c r="K410" s="132"/>
      <c r="L410" s="181"/>
    </row>
    <row r="411" spans="2:14" ht="33" customHeight="1" x14ac:dyDescent="0.2">
      <c r="B411" s="188"/>
      <c r="C411" s="490" t="s">
        <v>882</v>
      </c>
      <c r="D411" s="491"/>
      <c r="E411" s="491"/>
      <c r="F411" s="491"/>
      <c r="G411" s="491"/>
      <c r="H411" s="394"/>
      <c r="I411" s="395"/>
      <c r="J411" s="395"/>
      <c r="K411" s="395"/>
      <c r="L411" s="181"/>
      <c r="N411" s="407"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462</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1075</v>
      </c>
      <c r="C434" s="183"/>
      <c r="D434" s="193"/>
      <c r="E434" s="193"/>
      <c r="F434" s="193"/>
      <c r="G434" s="193"/>
      <c r="H434" s="193"/>
      <c r="I434" s="193"/>
      <c r="J434" s="193"/>
      <c r="K434" s="193"/>
      <c r="L434" s="194"/>
    </row>
    <row r="435" spans="2:15" s="78" customFormat="1" ht="23.25" customHeight="1" x14ac:dyDescent="0.2">
      <c r="B435" s="246" t="s">
        <v>1076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477" t="s">
        <v>102</v>
      </c>
      <c r="D437" s="501"/>
      <c r="E437" s="171" t="s">
        <v>463</v>
      </c>
      <c r="F437" s="171" t="s">
        <v>464</v>
      </c>
      <c r="G437" s="171" t="s">
        <v>103</v>
      </c>
      <c r="H437" s="171" t="s">
        <v>104</v>
      </c>
      <c r="I437" s="477" t="s">
        <v>105</v>
      </c>
      <c r="J437" s="478"/>
      <c r="K437" s="478"/>
      <c r="L437" s="391" t="s">
        <v>1326</v>
      </c>
    </row>
    <row r="438" spans="2:15" ht="75" customHeight="1" x14ac:dyDescent="0.2">
      <c r="B438" s="255"/>
      <c r="C438" s="501" t="s">
        <v>661</v>
      </c>
      <c r="D438" s="501"/>
      <c r="E438" s="256" t="str">
        <f t="array" aca="1" ref="E438" ca="1">IF($C438="","",OFFSET(INDIRECT(VLOOKUP(programme_outcome,outcomes_table,3,FALSE)),MATCH($C438,INDIRECT(VLOOKUP(programme_outcome,outcomes_table,3,FALSE)),0)-1,2))</f>
        <v>Reported</v>
      </c>
      <c r="F438" s="256" t="str">
        <f t="array" aca="1" ref="F438" ca="1">IF($C438="","",OFFSET(INDIRECT(VLOOKUP(programme_outcome,outcomes_table,3,FALSE)),MATCH($C438,INDIRECT(VLOOKUP(programme_outcome,outcomes_table,3,FALSE)),0)-1,1))</f>
        <v>Outcome</v>
      </c>
      <c r="G438" s="271"/>
      <c r="H438" s="267"/>
      <c r="I438" s="479"/>
      <c r="J438" s="480"/>
      <c r="K438" s="481"/>
      <c r="L438" s="398" t="str">
        <f t="array" aca="1" ref="L438" ca="1">IF($C438="","",OFFSET(INDIRECT(VLOOKUP(programme_outcome,outcomes_table,3,FALSE)),MATCH($C438,INDIRECT(VLOOKUP(programme_outcome,outcomes_table,3,FALSE)),0)-1,3))</f>
        <v>CLT_OTC1_IND1</v>
      </c>
      <c r="M438" s="263"/>
      <c r="O438" s="189"/>
    </row>
    <row r="439" spans="2:15" ht="75" customHeight="1" x14ac:dyDescent="0.2">
      <c r="B439" s="255"/>
      <c r="C439" s="501" t="s">
        <v>662</v>
      </c>
      <c r="D439" s="501"/>
      <c r="E439" s="256" t="str">
        <f t="array" aca="1" ref="E439" ca="1">IF($C439="","",OFFSET(INDIRECT(VLOOKUP(programme_outcome,outcomes_table,3,FALSE)),MATCH($C439,INDIRECT(VLOOKUP(programme_outcome,outcomes_table,3,FALSE)),0)-1,2))</f>
        <v>Reported</v>
      </c>
      <c r="F439" s="256" t="str">
        <f t="array" aca="1" ref="F439" ca="1">IF($C439="","",OFFSET(INDIRECT(VLOOKUP(programme_outcome,outcomes_table,3,FALSE)),MATCH($C439,INDIRECT(VLOOKUP(programme_outcome,outcomes_table,3,FALSE)),0)-1,1))</f>
        <v>Outcome</v>
      </c>
      <c r="G439" s="271"/>
      <c r="H439" s="267"/>
      <c r="I439" s="479"/>
      <c r="J439" s="480"/>
      <c r="K439" s="481"/>
      <c r="L439" s="398" t="str">
        <f t="array" aca="1" ref="L439" ca="1">IF($C439="","",OFFSET(INDIRECT(VLOOKUP(programme_outcome,outcomes_table,3,FALSE)),MATCH($C439,INDIRECT(VLOOKUP(programme_outcome,outcomes_table,3,FALSE)),0)-1,3))</f>
        <v>CLT_OTC1_IND2</v>
      </c>
      <c r="M439" s="263"/>
      <c r="O439" s="189"/>
    </row>
    <row r="440" spans="2:15" ht="75" customHeight="1" x14ac:dyDescent="0.2">
      <c r="B440" s="255"/>
      <c r="C440" s="501" t="s">
        <v>664</v>
      </c>
      <c r="D440" s="501"/>
      <c r="E440" s="256" t="str">
        <f t="array" aca="1" ref="E440" ca="1">IF($C440="","",OFFSET(INDIRECT(VLOOKUP(programme_outcome,outcomes_table,3,FALSE)),MATCH($C440,INDIRECT(VLOOKUP(programme_outcome,outcomes_table,3,FALSE)),0)-1,2))</f>
        <v>Reported</v>
      </c>
      <c r="F440" s="256" t="str">
        <f t="array" aca="1" ref="F440" ca="1">IF($C440="","",OFFSET(INDIRECT(VLOOKUP(programme_outcome,outcomes_table,3,FALSE)),MATCH($C440,INDIRECT(VLOOKUP(programme_outcome,outcomes_table,3,FALSE)),0)-1,1))</f>
        <v>Outcome</v>
      </c>
      <c r="G440" s="271"/>
      <c r="H440" s="267"/>
      <c r="I440" s="479"/>
      <c r="J440" s="480"/>
      <c r="K440" s="481"/>
      <c r="L440" s="398" t="str">
        <f t="array" aca="1" ref="L440" ca="1">IF($C440="","",OFFSET(INDIRECT(VLOOKUP(programme_outcome,outcomes_table,3,FALSE)),MATCH($C440,INDIRECT(VLOOKUP(programme_outcome,outcomes_table,3,FALSE)),0)-1,3))</f>
        <v>CLT_OTC1_IND4</v>
      </c>
      <c r="M440" s="263"/>
    </row>
    <row r="441" spans="2:15" ht="75" customHeight="1" x14ac:dyDescent="0.2">
      <c r="B441" s="255"/>
      <c r="C441" s="501" t="s">
        <v>665</v>
      </c>
      <c r="D441" s="501"/>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261">
        <v>0</v>
      </c>
      <c r="H441" s="267"/>
      <c r="I441" s="479"/>
      <c r="J441" s="480"/>
      <c r="K441" s="481"/>
      <c r="L441" s="398" t="str">
        <f t="array" aca="1" ref="L441" ca="1">IF($C441="","",OFFSET(INDIRECT(VLOOKUP(programme_outcome,outcomes_table,3,FALSE)),MATCH($C441,INDIRECT(VLOOKUP(programme_outcome,outcomes_table,3,FALSE)),0)-1,3))</f>
        <v>CLT_OTC1_OTP1_IND1</v>
      </c>
      <c r="M441" s="263"/>
    </row>
    <row r="442" spans="2:15" ht="75" customHeight="1" x14ac:dyDescent="0.2">
      <c r="B442" s="255"/>
      <c r="C442" s="501" t="s">
        <v>666</v>
      </c>
      <c r="D442" s="501"/>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261">
        <v>0</v>
      </c>
      <c r="H442" s="267"/>
      <c r="I442" s="479"/>
      <c r="J442" s="480"/>
      <c r="K442" s="481"/>
      <c r="L442" s="398" t="str">
        <f t="array" aca="1" ref="L442" ca="1">IF($C442="","",OFFSET(INDIRECT(VLOOKUP(programme_outcome,outcomes_table,3,FALSE)),MATCH($C442,INDIRECT(VLOOKUP(programme_outcome,outcomes_table,3,FALSE)),0)-1,3))</f>
        <v>CLT_OTC1_OTP1_IND2</v>
      </c>
      <c r="M442" s="263"/>
    </row>
    <row r="443" spans="2:15" ht="75" customHeight="1" x14ac:dyDescent="0.2">
      <c r="B443" s="255"/>
      <c r="C443" s="501" t="s">
        <v>667</v>
      </c>
      <c r="D443" s="501"/>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261">
        <v>0</v>
      </c>
      <c r="H443" s="267"/>
      <c r="I443" s="479"/>
      <c r="J443" s="480"/>
      <c r="K443" s="481"/>
      <c r="L443" s="398" t="str">
        <f t="array" aca="1" ref="L443" ca="1">IF($C443="","",OFFSET(INDIRECT(VLOOKUP(programme_outcome,outcomes_table,3,FALSE)),MATCH($C443,INDIRECT(VLOOKUP(programme_outcome,outcomes_table,3,FALSE)),0)-1,3))</f>
        <v>CLT_OTC1_OTP1_IND3</v>
      </c>
      <c r="M443" s="263"/>
    </row>
    <row r="444" spans="2:15" ht="75" customHeight="1" x14ac:dyDescent="0.2">
      <c r="B444" s="255"/>
      <c r="C444" s="501" t="s">
        <v>668</v>
      </c>
      <c r="D444" s="501"/>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261">
        <v>0</v>
      </c>
      <c r="H444" s="267"/>
      <c r="I444" s="479"/>
      <c r="J444" s="480"/>
      <c r="K444" s="481"/>
      <c r="L444" s="398" t="str">
        <f t="array" aca="1" ref="L444" ca="1">IF($C444="","",OFFSET(INDIRECT(VLOOKUP(programme_outcome,outcomes_table,3,FALSE)),MATCH($C444,INDIRECT(VLOOKUP(programme_outcome,outcomes_table,3,FALSE)),0)-1,3))</f>
        <v>CLT_OTC1_OTP1_IND4</v>
      </c>
      <c r="M444" s="263"/>
    </row>
    <row r="445" spans="2:15" ht="75" customHeight="1" x14ac:dyDescent="0.2">
      <c r="B445" s="255"/>
      <c r="C445" s="501" t="s">
        <v>669</v>
      </c>
      <c r="D445" s="501"/>
      <c r="E445" s="256" t="str">
        <f t="array" aca="1" ref="E445" ca="1">IF($C445="","",OFFSET(INDIRECT(VLOOKUP(programme_outcome,outcomes_table,3,FALSE)),MATCH($C445,INDIRECT(VLOOKUP(programme_outcome,outcomes_table,3,FALSE)),0)-1,2))</f>
        <v>Binding</v>
      </c>
      <c r="F445" s="256" t="str">
        <f t="array" aca="1" ref="F445" ca="1">IF($C445="","",OFFSET(INDIRECT(VLOOKUP(programme_outcome,outcomes_table,3,FALSE)),MATCH($C445,INDIRECT(VLOOKUP(programme_outcome,outcomes_table,3,FALSE)),0)-1,1))</f>
        <v>Output</v>
      </c>
      <c r="G445" s="261">
        <v>0</v>
      </c>
      <c r="H445" s="267"/>
      <c r="I445" s="479"/>
      <c r="J445" s="480"/>
      <c r="K445" s="481"/>
      <c r="L445" s="398" t="str">
        <f t="array" aca="1" ref="L445" ca="1">IF($C445="","",OFFSET(INDIRECT(VLOOKUP(programme_outcome,outcomes_table,3,FALSE)),MATCH($C445,INDIRECT(VLOOKUP(programme_outcome,outcomes_table,3,FALSE)),0)-1,3))</f>
        <v>CLT_OTC1_OTP1_IND5</v>
      </c>
      <c r="M445" s="263"/>
    </row>
    <row r="446" spans="2:15" ht="75" hidden="1" customHeight="1" x14ac:dyDescent="0.2">
      <c r="B446" s="255"/>
      <c r="C446" s="501"/>
      <c r="D446" s="501"/>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9"/>
      <c r="J446" s="480"/>
      <c r="K446" s="481"/>
      <c r="L446" s="398" t="str">
        <f t="array" aca="1" ref="L446" ca="1">IF($C446="","",OFFSET(INDIRECT(VLOOKUP(programme_outcome,outcomes_table,3,FALSE)),MATCH($C446,INDIRECT(VLOOKUP(programme_outcome,outcomes_table,3,FALSE)),0)-1,3))</f>
        <v/>
      </c>
      <c r="M446" s="263"/>
    </row>
    <row r="447" spans="2:15" ht="75" hidden="1" customHeight="1" x14ac:dyDescent="0.2">
      <c r="B447" s="255"/>
      <c r="C447" s="501"/>
      <c r="D447" s="501"/>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9"/>
      <c r="J447" s="480"/>
      <c r="K447" s="481"/>
      <c r="L447" s="398"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1"/>
      <c r="D448" s="501"/>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9"/>
      <c r="J448" s="480"/>
      <c r="K448" s="481"/>
      <c r="L448" s="398" t="str">
        <f t="array" aca="1" ref="L448" ca="1">IF($C448="","",OFFSET(INDIRECT(VLOOKUP(programme_outcome,outcomes_table,3,FALSE)),MATCH($C448,INDIRECT(VLOOKUP(programme_outcome,outcomes_table,3,FALSE)),0)-1,3))</f>
        <v/>
      </c>
      <c r="M448" s="263"/>
    </row>
    <row r="449" spans="2:13" ht="75" hidden="1" customHeight="1" x14ac:dyDescent="0.2">
      <c r="B449" s="255"/>
      <c r="C449" s="501"/>
      <c r="D449" s="501"/>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9"/>
      <c r="J449" s="480"/>
      <c r="K449" s="481"/>
      <c r="L449" s="398" t="str">
        <f t="array" aca="1" ref="L449" ca="1">IF($C449="","",OFFSET(INDIRECT(VLOOKUP(programme_outcome,outcomes_table,3,FALSE)),MATCH($C449,INDIRECT(VLOOKUP(programme_outcome,outcomes_table,3,FALSE)),0)-1,3))</f>
        <v/>
      </c>
      <c r="M449" s="263"/>
    </row>
    <row r="450" spans="2:13" ht="75" hidden="1" customHeight="1" x14ac:dyDescent="0.2">
      <c r="B450" s="255"/>
      <c r="C450" s="501"/>
      <c r="D450" s="501"/>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9"/>
      <c r="J450" s="480"/>
      <c r="K450" s="481"/>
      <c r="L450" s="398" t="str">
        <f t="array" aca="1" ref="L450" ca="1">IF($C450="","",OFFSET(INDIRECT(VLOOKUP(programme_outcome,outcomes_table,3,FALSE)),MATCH($C450,INDIRECT(VLOOKUP(programme_outcome,outcomes_table,3,FALSE)),0)-1,3))</f>
        <v/>
      </c>
      <c r="M450" s="263"/>
    </row>
    <row r="451" spans="2:13" ht="75" hidden="1" customHeight="1" x14ac:dyDescent="0.2">
      <c r="B451" s="255"/>
      <c r="C451" s="501"/>
      <c r="D451" s="501"/>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9"/>
      <c r="J451" s="480"/>
      <c r="K451" s="481"/>
      <c r="L451" s="398"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1350</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477" t="s">
        <v>102</v>
      </c>
      <c r="D457" s="501"/>
      <c r="E457" s="247" t="s">
        <v>463</v>
      </c>
      <c r="F457" s="247" t="s">
        <v>464</v>
      </c>
      <c r="G457" s="247" t="s">
        <v>103</v>
      </c>
      <c r="H457" s="247" t="s">
        <v>104</v>
      </c>
      <c r="I457" s="477" t="s">
        <v>105</v>
      </c>
      <c r="J457" s="478"/>
      <c r="K457" s="478"/>
      <c r="L457" s="391" t="s">
        <v>1326</v>
      </c>
    </row>
    <row r="458" spans="2:13" ht="75" customHeight="1" x14ac:dyDescent="0.2">
      <c r="B458" s="255"/>
      <c r="C458" s="501" t="s">
        <v>684</v>
      </c>
      <c r="D458" s="501"/>
      <c r="E458" s="256" t="str">
        <f t="array" aca="1" ref="E458" ca="1">IF($C458="","",OFFSET(INDIRECT("indicators_"&amp;programme_abbreviation&amp;"_OTCB"),MATCH($C458,INDIRECT("indicators_"&amp;programme_abbreviation&amp;"_OTCB"),0)-1,2))</f>
        <v>Binding</v>
      </c>
      <c r="F458" s="256" t="str">
        <f t="array" aca="1" ref="F458" ca="1">IF($C458="","",OFFSET(INDIRECT("indicators_"&amp;programme_abbreviation&amp;"_OTCB"),MATCH($C458,INDIRECT("indicators_"&amp;programme_abbreviation&amp;"_OTCB"),0)-1,1))</f>
        <v>Output</v>
      </c>
      <c r="G458" s="261">
        <v>0</v>
      </c>
      <c r="H458" s="267"/>
      <c r="I458" s="479"/>
      <c r="J458" s="480"/>
      <c r="K458" s="481"/>
      <c r="L458" s="398" t="str">
        <f t="array" aca="1" ref="L458" ca="1">IF($C458="","",OFFSET(INDIRECT("indicators_"&amp;programme_abbreviation&amp;"_OTCB"),MATCH($C458,INDIRECT("indicators_"&amp;programme_abbreviation&amp;"_OTCB"),0)-1,3))</f>
        <v>CLT_OTCB_OTP1_IND1</v>
      </c>
      <c r="M458" s="263"/>
    </row>
    <row r="459" spans="2:13" ht="75" customHeight="1" x14ac:dyDescent="0.2">
      <c r="B459" s="255"/>
      <c r="C459" s="501" t="s">
        <v>685</v>
      </c>
      <c r="D459" s="501"/>
      <c r="E459" s="256" t="str">
        <f t="array" aca="1" ref="E459" ca="1">IF($C459="","",OFFSET(INDIRECT("indicators_"&amp;programme_abbreviation&amp;"_OTCB"),MATCH($C459,INDIRECT("indicators_"&amp;programme_abbreviation&amp;"_OTCB"),0)-1,2))</f>
        <v>Binding</v>
      </c>
      <c r="F459" s="256" t="str">
        <f t="array" aca="1" ref="F459" ca="1">IF($C459="","",OFFSET(INDIRECT("indicators_"&amp;programme_abbreviation&amp;"_OTCB"),MATCH($C459,INDIRECT("indicators_"&amp;programme_abbreviation&amp;"_OTCB"),0)-1,1))</f>
        <v>Output</v>
      </c>
      <c r="G459" s="261">
        <v>0</v>
      </c>
      <c r="H459" s="267"/>
      <c r="I459" s="479"/>
      <c r="J459" s="480"/>
      <c r="K459" s="481"/>
      <c r="L459" s="398" t="str">
        <f t="array" aca="1" ref="L459" ca="1">IF($C459="","",OFFSET(INDIRECT("indicators_"&amp;programme_abbreviation&amp;"_OTCB"),MATCH($C459,INDIRECT("indicators_"&amp;programme_abbreviation&amp;"_OTCB"),0)-1,3))</f>
        <v>CLT_OTCB_OTP1_IND2</v>
      </c>
      <c r="M459" s="263"/>
    </row>
    <row r="460" spans="2:13" ht="75" customHeight="1" x14ac:dyDescent="0.2">
      <c r="B460" s="255"/>
      <c r="C460" s="501" t="s">
        <v>686</v>
      </c>
      <c r="D460" s="501"/>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Output</v>
      </c>
      <c r="G460" s="261">
        <v>0</v>
      </c>
      <c r="H460" s="267"/>
      <c r="I460" s="479"/>
      <c r="J460" s="480"/>
      <c r="K460" s="481"/>
      <c r="L460" s="398" t="str">
        <f t="array" aca="1" ref="L460" ca="1">IF($C460="","",OFFSET(INDIRECT("indicators_"&amp;programme_abbreviation&amp;"_OTCB"),MATCH($C460,INDIRECT("indicators_"&amp;programme_abbreviation&amp;"_OTCB"),0)-1,3))</f>
        <v>CLT_OTCB_OTP1_IND3</v>
      </c>
      <c r="M460" s="263"/>
    </row>
    <row r="461" spans="2:13" ht="75" hidden="1" customHeight="1" x14ac:dyDescent="0.2">
      <c r="B461" s="255"/>
      <c r="C461" s="501"/>
      <c r="D461" s="501"/>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79"/>
      <c r="J461" s="480"/>
      <c r="K461" s="481"/>
      <c r="L461" s="398" t="str">
        <f t="array" aca="1" ref="L461" ca="1">IF($C461="","",OFFSET(INDIRECT("indicators_"&amp;programme_abbreviation&amp;"_OTCB"),MATCH($C461,INDIRECT("indicators_"&amp;programme_abbreviation&amp;"_OTCB"))-1,3))</f>
        <v/>
      </c>
      <c r="M461" s="263"/>
    </row>
    <row r="462" spans="2:13" ht="75" hidden="1" customHeight="1" x14ac:dyDescent="0.2">
      <c r="B462" s="255"/>
      <c r="C462" s="501"/>
      <c r="D462" s="501"/>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9"/>
      <c r="J462" s="480"/>
      <c r="K462" s="481"/>
      <c r="L462" s="398" t="str">
        <f t="array" aca="1" ref="L462" ca="1">IF($C462="","",OFFSET(INDIRECT("indicators_"&amp;programme_abbreviation&amp;"_OTCB"),MATCH($C462,INDIRECT("indicators_"&amp;programme_abbreviation&amp;"_OTCB"))-1,3))</f>
        <v/>
      </c>
      <c r="M462" s="263"/>
    </row>
    <row r="463" spans="2:13" ht="75" hidden="1" customHeight="1" x14ac:dyDescent="0.2">
      <c r="B463" s="255"/>
      <c r="C463" s="501"/>
      <c r="D463" s="501"/>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9"/>
      <c r="J463" s="480"/>
      <c r="K463" s="481"/>
      <c r="L463" s="398" t="str">
        <f t="array" aca="1" ref="L463" ca="1">IF($C463="","",OFFSET(INDIRECT("indicators_"&amp;programme_abbreviation&amp;"_OTCB"),MATCH($C463,INDIRECT("indicators_"&amp;programme_abbreviation&amp;"_OTCB"))-1,3))</f>
        <v/>
      </c>
      <c r="M463" s="263"/>
    </row>
    <row r="464" spans="2:13" ht="75" hidden="1" customHeight="1" x14ac:dyDescent="0.2">
      <c r="B464" s="255"/>
      <c r="C464" s="501"/>
      <c r="D464" s="501"/>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9"/>
      <c r="J464" s="480"/>
      <c r="K464" s="481"/>
      <c r="L464" s="398" t="str">
        <f t="array" aca="1" ref="L464" ca="1">IF($C464="","",OFFSET(INDIRECT("indicators_"&amp;programme_abbreviation&amp;"_OTCB"),MATCH($C464,INDIRECT("indicators_"&amp;programme_abbreviation&amp;"_OTCB"))-1,3))</f>
        <v/>
      </c>
      <c r="M464" s="263"/>
    </row>
    <row r="465" spans="2:15" ht="75" hidden="1" customHeight="1" x14ac:dyDescent="0.2">
      <c r="B465" s="255"/>
      <c r="C465" s="501"/>
      <c r="D465" s="501"/>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9"/>
      <c r="J465" s="480"/>
      <c r="K465" s="481"/>
      <c r="L465" s="398" t="str">
        <f t="array" aca="1" ref="L465" ca="1">IF($C465="","",OFFSET(INDIRECT("indicators_"&amp;programme_abbreviation&amp;"_OTCB"),MATCH($C465,INDIRECT("indicators_"&amp;programme_abbreviation&amp;"_OTCB"))-1,3))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1077</v>
      </c>
      <c r="L467" s="101"/>
    </row>
    <row r="468" spans="2:15" customFormat="1" ht="7.5" customHeight="1" x14ac:dyDescent="0.2">
      <c r="B468" s="245"/>
      <c r="M468" s="245"/>
    </row>
    <row r="469" spans="2:15" ht="32.25" customHeight="1" x14ac:dyDescent="0.2">
      <c r="B469" s="172"/>
      <c r="C469" s="514" t="s">
        <v>102</v>
      </c>
      <c r="D469" s="515"/>
      <c r="E469" s="516"/>
      <c r="F469" s="517"/>
      <c r="G469" s="247" t="s">
        <v>103</v>
      </c>
      <c r="H469" s="247" t="s">
        <v>104</v>
      </c>
      <c r="I469" s="477" t="s">
        <v>105</v>
      </c>
      <c r="J469" s="478"/>
      <c r="K469" s="478"/>
      <c r="L469" s="391" t="s">
        <v>1326</v>
      </c>
    </row>
    <row r="470" spans="2:15" ht="75" customHeight="1" x14ac:dyDescent="0.2">
      <c r="B470" s="255"/>
      <c r="C470" s="521" t="s">
        <v>946</v>
      </c>
      <c r="D470" s="522"/>
      <c r="E470" s="523"/>
      <c r="F470" s="524"/>
      <c r="G470" s="261">
        <v>0</v>
      </c>
      <c r="H470" s="267"/>
      <c r="I470" s="479"/>
      <c r="J470" s="480" t="s">
        <v>1299</v>
      </c>
      <c r="K470" s="481"/>
      <c r="L470" s="398" t="s">
        <v>1327</v>
      </c>
      <c r="M470" s="263"/>
      <c r="O470" s="221"/>
    </row>
    <row r="471" spans="2:15" ht="75" customHeight="1" x14ac:dyDescent="0.2">
      <c r="B471" s="255"/>
      <c r="C471" s="521" t="s">
        <v>945</v>
      </c>
      <c r="D471" s="522"/>
      <c r="E471" s="523"/>
      <c r="F471" s="524"/>
      <c r="G471" s="261">
        <v>0</v>
      </c>
      <c r="H471" s="267"/>
      <c r="I471" s="479"/>
      <c r="J471" s="480" t="s">
        <v>1300</v>
      </c>
      <c r="K471" s="481"/>
      <c r="L471" s="398" t="s">
        <v>1328</v>
      </c>
      <c r="M471" s="263"/>
      <c r="O471" s="221"/>
    </row>
    <row r="472" spans="2:15" ht="75" customHeight="1" x14ac:dyDescent="0.2">
      <c r="B472" s="255"/>
      <c r="C472" s="521" t="s">
        <v>944</v>
      </c>
      <c r="D472" s="522"/>
      <c r="E472" s="523"/>
      <c r="F472" s="524"/>
      <c r="G472" s="261">
        <v>0</v>
      </c>
      <c r="H472" s="267"/>
      <c r="I472" s="479"/>
      <c r="J472" s="480" t="s">
        <v>1301</v>
      </c>
      <c r="K472" s="481"/>
      <c r="L472" s="398" t="s">
        <v>1329</v>
      </c>
      <c r="M472" s="263"/>
      <c r="O472" s="221"/>
    </row>
    <row r="473" spans="2:15" ht="75" customHeight="1" x14ac:dyDescent="0.2">
      <c r="B473" s="255"/>
      <c r="C473" s="521" t="s">
        <v>943</v>
      </c>
      <c r="D473" s="522"/>
      <c r="E473" s="523"/>
      <c r="F473" s="524"/>
      <c r="G473" s="261">
        <v>0</v>
      </c>
      <c r="H473" s="267"/>
      <c r="I473" s="479"/>
      <c r="J473" s="480" t="s">
        <v>1302</v>
      </c>
      <c r="K473" s="481"/>
      <c r="L473" s="398" t="s">
        <v>1330</v>
      </c>
      <c r="M473" s="263"/>
      <c r="O473" s="221"/>
    </row>
    <row r="474" spans="2:15" ht="75" customHeight="1" x14ac:dyDescent="0.2">
      <c r="B474" s="255"/>
      <c r="C474" s="521" t="s">
        <v>942</v>
      </c>
      <c r="D474" s="522"/>
      <c r="E474" s="523"/>
      <c r="F474" s="524"/>
      <c r="G474" s="261">
        <v>0</v>
      </c>
      <c r="H474" s="267"/>
      <c r="I474" s="479"/>
      <c r="J474" s="480" t="s">
        <v>1303</v>
      </c>
      <c r="K474" s="481"/>
      <c r="L474" s="398" t="s">
        <v>1331</v>
      </c>
      <c r="M474" s="263"/>
      <c r="O474" s="221"/>
    </row>
    <row r="475" spans="2:15" ht="75" customHeight="1" x14ac:dyDescent="0.2">
      <c r="B475" s="255"/>
      <c r="C475" s="521" t="s">
        <v>1440</v>
      </c>
      <c r="D475" s="522"/>
      <c r="E475" s="523"/>
      <c r="F475" s="524"/>
      <c r="G475" s="261">
        <v>0</v>
      </c>
      <c r="H475" s="267"/>
      <c r="I475" s="479"/>
      <c r="J475" s="480" t="s">
        <v>1304</v>
      </c>
      <c r="K475" s="481"/>
      <c r="L475" s="398" t="s">
        <v>1332</v>
      </c>
      <c r="M475" s="263"/>
      <c r="O475" s="221"/>
    </row>
    <row r="476" spans="2:15" ht="75" customHeight="1" x14ac:dyDescent="0.2">
      <c r="B476" s="255"/>
      <c r="C476" s="521" t="s">
        <v>941</v>
      </c>
      <c r="D476" s="522"/>
      <c r="E476" s="523"/>
      <c r="F476" s="524"/>
      <c r="G476" s="261">
        <v>0</v>
      </c>
      <c r="H476" s="267"/>
      <c r="I476" s="479"/>
      <c r="J476" s="480" t="s">
        <v>1305</v>
      </c>
      <c r="K476" s="481"/>
      <c r="L476" s="398" t="s">
        <v>1333</v>
      </c>
      <c r="M476" s="263"/>
      <c r="O476" s="221"/>
    </row>
    <row r="477" spans="2:15" s="78" customFormat="1" ht="23.25" customHeight="1" x14ac:dyDescent="0.2">
      <c r="B477" s="246" t="s">
        <v>1078</v>
      </c>
      <c r="L477" s="101"/>
    </row>
    <row r="478" spans="2:15" customFormat="1" ht="7.5" customHeight="1" x14ac:dyDescent="0.2">
      <c r="B478" s="245"/>
      <c r="M478" s="245"/>
    </row>
    <row r="479" spans="2:15" ht="32.25" customHeight="1" x14ac:dyDescent="0.2">
      <c r="B479" s="172"/>
      <c r="C479" s="477" t="s">
        <v>102</v>
      </c>
      <c r="D479" s="501"/>
      <c r="E479" s="247" t="s">
        <v>463</v>
      </c>
      <c r="F479" s="247" t="s">
        <v>464</v>
      </c>
      <c r="G479" s="247" t="s">
        <v>103</v>
      </c>
      <c r="H479" s="247" t="s">
        <v>104</v>
      </c>
      <c r="I479" s="477" t="s">
        <v>105</v>
      </c>
      <c r="J479" s="478"/>
      <c r="K479" s="478"/>
      <c r="L479" s="391" t="s">
        <v>1326</v>
      </c>
    </row>
    <row r="480" spans="2:15" ht="75" customHeight="1" x14ac:dyDescent="0.2">
      <c r="B480" s="255"/>
      <c r="C480" s="528" t="s">
        <v>1429</v>
      </c>
      <c r="D480" s="501"/>
      <c r="E480" s="449" t="s">
        <v>1412</v>
      </c>
      <c r="F480" s="257" t="s">
        <v>203</v>
      </c>
      <c r="G480" s="261">
        <v>0</v>
      </c>
      <c r="H480" s="267"/>
      <c r="I480" s="479"/>
      <c r="J480" s="480"/>
      <c r="K480" s="481"/>
      <c r="L480" s="398" t="str">
        <f t="shared" ref="L480:L486" si="0">IF(ISBLANK(project_specific_indicator1),"",call_code&amp;"_"&amp;"PSI_IND"&amp;ROW(A1))</f>
        <v>CLT01_PSI_IND1</v>
      </c>
      <c r="M480" s="263"/>
    </row>
    <row r="481" spans="2:14" ht="75" customHeight="1" x14ac:dyDescent="0.2">
      <c r="B481" s="255"/>
      <c r="C481" s="528" t="s">
        <v>1430</v>
      </c>
      <c r="D481" s="501"/>
      <c r="E481" s="449" t="s">
        <v>1412</v>
      </c>
      <c r="F481" s="257" t="s">
        <v>203</v>
      </c>
      <c r="G481" s="261">
        <v>0</v>
      </c>
      <c r="H481" s="267"/>
      <c r="I481" s="479"/>
      <c r="J481" s="480" t="s">
        <v>1306</v>
      </c>
      <c r="K481" s="481"/>
      <c r="L481" s="398" t="str">
        <f t="shared" si="0"/>
        <v>CLT01_PSI_IND2</v>
      </c>
      <c r="M481" s="263"/>
    </row>
    <row r="482" spans="2:14" ht="75" customHeight="1" x14ac:dyDescent="0.2">
      <c r="B482" s="255"/>
      <c r="C482" s="528" t="s">
        <v>1431</v>
      </c>
      <c r="D482" s="501"/>
      <c r="E482" s="449" t="s">
        <v>1412</v>
      </c>
      <c r="F482" s="257" t="s">
        <v>203</v>
      </c>
      <c r="G482" s="261">
        <v>0</v>
      </c>
      <c r="H482" s="267"/>
      <c r="I482" s="479"/>
      <c r="J482" s="480" t="s">
        <v>1307</v>
      </c>
      <c r="K482" s="481"/>
      <c r="L482" s="398" t="str">
        <f t="shared" si="0"/>
        <v>CLT01_PSI_IND3</v>
      </c>
      <c r="M482" s="263"/>
    </row>
    <row r="483" spans="2:14" ht="75" customHeight="1" x14ac:dyDescent="0.2">
      <c r="B483" s="255"/>
      <c r="C483" s="528" t="s">
        <v>1432</v>
      </c>
      <c r="D483" s="501"/>
      <c r="E483" s="449" t="s">
        <v>1412</v>
      </c>
      <c r="F483" s="257" t="s">
        <v>203</v>
      </c>
      <c r="G483" s="261">
        <v>0</v>
      </c>
      <c r="H483" s="267"/>
      <c r="I483" s="479"/>
      <c r="J483" s="480" t="s">
        <v>1308</v>
      </c>
      <c r="K483" s="481"/>
      <c r="L483" s="398" t="str">
        <f t="shared" si="0"/>
        <v>CLT01_PSI_IND4</v>
      </c>
      <c r="M483" s="263"/>
    </row>
    <row r="484" spans="2:14" ht="75" customHeight="1" x14ac:dyDescent="0.2">
      <c r="B484" s="255"/>
      <c r="C484" s="528" t="s">
        <v>1433</v>
      </c>
      <c r="D484" s="501"/>
      <c r="E484" s="449" t="s">
        <v>1412</v>
      </c>
      <c r="F484" s="257" t="s">
        <v>203</v>
      </c>
      <c r="G484" s="261">
        <v>0</v>
      </c>
      <c r="H484" s="267"/>
      <c r="I484" s="479"/>
      <c r="J484" s="480" t="s">
        <v>1309</v>
      </c>
      <c r="K484" s="481"/>
      <c r="L484" s="398" t="str">
        <f t="shared" si="0"/>
        <v>CLT01_PSI_IND5</v>
      </c>
      <c r="M484" s="263"/>
    </row>
    <row r="485" spans="2:14" ht="75" customHeight="1" x14ac:dyDescent="0.2">
      <c r="B485" s="255"/>
      <c r="C485" s="528" t="s">
        <v>1434</v>
      </c>
      <c r="D485" s="501"/>
      <c r="E485" s="449" t="s">
        <v>1412</v>
      </c>
      <c r="F485" s="257" t="s">
        <v>203</v>
      </c>
      <c r="G485" s="261">
        <v>0</v>
      </c>
      <c r="H485" s="267"/>
      <c r="I485" s="479"/>
      <c r="J485" s="480" t="s">
        <v>1310</v>
      </c>
      <c r="K485" s="481"/>
      <c r="L485" s="398" t="str">
        <f t="shared" si="0"/>
        <v>CLT01_PSI_IND6</v>
      </c>
      <c r="M485" s="263"/>
    </row>
    <row r="486" spans="2:14" ht="75" hidden="1" customHeight="1" x14ac:dyDescent="0.2">
      <c r="B486" s="255"/>
      <c r="C486" s="501"/>
      <c r="D486" s="501"/>
      <c r="E486" s="449" t="s">
        <v>1412</v>
      </c>
      <c r="F486" s="257" t="s">
        <v>203</v>
      </c>
      <c r="G486" s="261">
        <v>0</v>
      </c>
      <c r="H486" s="267"/>
      <c r="I486" s="479"/>
      <c r="J486" s="480" t="s">
        <v>1311</v>
      </c>
      <c r="K486" s="481"/>
      <c r="L486" s="398" t="str">
        <f t="shared" si="0"/>
        <v>CLT01_PSI_IND7</v>
      </c>
      <c r="M486" s="263"/>
    </row>
    <row r="487" spans="2:14" ht="28.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1080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433</v>
      </c>
      <c r="D493" s="179" t="s">
        <v>434</v>
      </c>
      <c r="E493" s="83"/>
      <c r="F493" s="83"/>
      <c r="G493" s="83"/>
      <c r="H493" s="83"/>
      <c r="I493" s="83"/>
      <c r="J493" s="180" t="s">
        <v>435</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643"/>
      <c r="E495" s="644"/>
      <c r="F495" s="644"/>
      <c r="G495" s="644"/>
      <c r="H495" s="644"/>
      <c r="I495" s="645"/>
      <c r="J495" s="646" t="str">
        <f>IF(ISBLANK(project_sector_specified),"",VLOOKUP(project_sector_specified,project_sector_codes_table,2,FALSE))</f>
        <v/>
      </c>
      <c r="K495" s="647"/>
      <c r="L495" s="6"/>
    </row>
    <row r="496" spans="2:14" ht="4.5" customHeight="1" x14ac:dyDescent="0.2">
      <c r="B496" s="1"/>
      <c r="C496" s="82"/>
      <c r="D496" s="83"/>
      <c r="E496" s="83"/>
      <c r="F496" s="83"/>
      <c r="G496" s="83"/>
      <c r="H496" s="83"/>
      <c r="I496" s="83"/>
      <c r="J496" s="83"/>
      <c r="K496" s="83"/>
      <c r="L496" s="6"/>
    </row>
    <row r="497" spans="2:12" ht="18" customHeight="1" x14ac:dyDescent="0.2">
      <c r="B497" s="187" t="s">
        <v>1081</v>
      </c>
      <c r="C497" s="82"/>
      <c r="D497" s="83"/>
      <c r="E497" s="83"/>
      <c r="F497" s="83"/>
      <c r="G497" s="83"/>
      <c r="H497" s="83"/>
      <c r="I497" s="83"/>
      <c r="J497" s="83"/>
      <c r="K497" s="83"/>
      <c r="L497" s="6"/>
    </row>
    <row r="498" spans="2:12" ht="18" customHeight="1" x14ac:dyDescent="0.2">
      <c r="B498" s="1"/>
      <c r="C498" s="82"/>
      <c r="D498" s="474" t="s">
        <v>106</v>
      </c>
      <c r="E498" s="475"/>
      <c r="F498" s="475"/>
      <c r="G498" s="475"/>
      <c r="H498" s="476"/>
      <c r="I498" s="518"/>
      <c r="J498" s="519"/>
      <c r="K498" s="520"/>
      <c r="L498" s="6"/>
    </row>
    <row r="499" spans="2:12" ht="18" customHeight="1" x14ac:dyDescent="0.2">
      <c r="B499" s="1"/>
      <c r="C499" s="82"/>
      <c r="D499" s="474" t="s">
        <v>107</v>
      </c>
      <c r="E499" s="475"/>
      <c r="F499" s="475"/>
      <c r="G499" s="475"/>
      <c r="H499" s="476"/>
      <c r="I499" s="518"/>
      <c r="J499" s="519"/>
      <c r="K499" s="520"/>
      <c r="L499" s="6"/>
    </row>
    <row r="500" spans="2:12" ht="18" customHeight="1" x14ac:dyDescent="0.2">
      <c r="B500" s="1"/>
      <c r="C500" s="82"/>
      <c r="D500" s="474" t="s">
        <v>108</v>
      </c>
      <c r="E500" s="475"/>
      <c r="F500" s="475"/>
      <c r="G500" s="475"/>
      <c r="H500" s="476"/>
      <c r="I500" s="518"/>
      <c r="J500" s="519"/>
      <c r="K500" s="520"/>
      <c r="L500" s="6"/>
    </row>
    <row r="501" spans="2:12" ht="18" customHeight="1" x14ac:dyDescent="0.2">
      <c r="B501" s="1"/>
      <c r="C501" s="82"/>
      <c r="D501" s="474" t="s">
        <v>109</v>
      </c>
      <c r="E501" s="475"/>
      <c r="F501" s="475"/>
      <c r="G501" s="475"/>
      <c r="H501" s="476"/>
      <c r="I501" s="518"/>
      <c r="J501" s="519"/>
      <c r="K501" s="520"/>
      <c r="L501" s="6"/>
    </row>
    <row r="502" spans="2:12" ht="18" customHeight="1" x14ac:dyDescent="0.2">
      <c r="B502" s="1"/>
      <c r="C502" s="82"/>
      <c r="D502" s="474" t="s">
        <v>110</v>
      </c>
      <c r="E502" s="475"/>
      <c r="F502" s="475"/>
      <c r="G502" s="475"/>
      <c r="H502" s="476"/>
      <c r="I502" s="518"/>
      <c r="J502" s="519"/>
      <c r="K502" s="520"/>
      <c r="L502" s="6"/>
    </row>
    <row r="503" spans="2:12" ht="18" customHeight="1" x14ac:dyDescent="0.2">
      <c r="B503" s="1"/>
      <c r="C503" s="82"/>
      <c r="D503" s="474" t="s">
        <v>111</v>
      </c>
      <c r="E503" s="475"/>
      <c r="F503" s="475"/>
      <c r="G503" s="475"/>
      <c r="H503" s="476"/>
      <c r="I503" s="518"/>
      <c r="J503" s="519"/>
      <c r="K503" s="520"/>
      <c r="L503" s="6"/>
    </row>
    <row r="504" spans="2:12" ht="18" customHeight="1" x14ac:dyDescent="0.2">
      <c r="B504" s="1"/>
      <c r="C504" s="82"/>
      <c r="D504" s="474" t="s">
        <v>112</v>
      </c>
      <c r="E504" s="475"/>
      <c r="F504" s="475"/>
      <c r="G504" s="475"/>
      <c r="H504" s="476"/>
      <c r="I504" s="518"/>
      <c r="J504" s="519"/>
      <c r="K504" s="520"/>
      <c r="L504" s="6"/>
    </row>
    <row r="505" spans="2:12" ht="5.25" customHeight="1" x14ac:dyDescent="0.2">
      <c r="B505" s="1"/>
      <c r="C505" s="82"/>
      <c r="D505" s="9"/>
      <c r="E505" s="9"/>
      <c r="F505" s="9"/>
      <c r="G505" s="9"/>
      <c r="H505" s="9"/>
      <c r="I505" s="86"/>
      <c r="J505" s="86"/>
      <c r="K505" s="86"/>
      <c r="L505" s="6"/>
    </row>
    <row r="506" spans="2:12" ht="18" customHeight="1" x14ac:dyDescent="0.2">
      <c r="B506" s="187" t="s">
        <v>1082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502"/>
      <c r="H508" s="503"/>
      <c r="I508" s="503"/>
      <c r="J508" s="503"/>
      <c r="K508" s="503"/>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1189</v>
      </c>
      <c r="G510" s="502"/>
      <c r="H510" s="503"/>
      <c r="I510" s="503"/>
      <c r="J510" s="503"/>
      <c r="K510" s="503"/>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502"/>
      <c r="H512" s="503"/>
      <c r="I512" s="503"/>
      <c r="J512" s="503"/>
      <c r="K512" s="503"/>
      <c r="L512" s="6"/>
    </row>
    <row r="513" spans="2:12" ht="9" customHeight="1" x14ac:dyDescent="0.2">
      <c r="B513" s="74"/>
      <c r="C513" s="87"/>
      <c r="D513" s="567"/>
      <c r="E513" s="567"/>
      <c r="F513" s="567"/>
      <c r="G513" s="567"/>
      <c r="H513" s="567"/>
      <c r="I513" s="567"/>
      <c r="J513" s="567"/>
      <c r="K513" s="567"/>
      <c r="L513" s="76"/>
    </row>
    <row r="514" spans="2:12" ht="18" customHeight="1" x14ac:dyDescent="0.2">
      <c r="B514" s="24" t="s">
        <v>1083</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484" t="s">
        <v>256</v>
      </c>
      <c r="D517" s="485"/>
      <c r="E517" s="486" t="s">
        <v>434</v>
      </c>
      <c r="F517" s="487"/>
      <c r="G517" s="485"/>
      <c r="H517" s="228" t="s">
        <v>574</v>
      </c>
      <c r="I517" s="229" t="s">
        <v>655</v>
      </c>
      <c r="J517" s="208"/>
      <c r="K517" s="121"/>
      <c r="L517" s="122"/>
    </row>
    <row r="518" spans="2:12" ht="39" customHeight="1" x14ac:dyDescent="0.2">
      <c r="B518" s="191">
        <v>1</v>
      </c>
      <c r="C518" s="488"/>
      <c r="D518" s="489"/>
      <c r="E518" s="488"/>
      <c r="F518" s="489"/>
      <c r="G518" s="489"/>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488"/>
      <c r="D520" s="489"/>
      <c r="E520" s="488"/>
      <c r="F520" s="489"/>
      <c r="G520" s="489"/>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529"/>
      <c r="D522" s="531"/>
      <c r="E522" s="529"/>
      <c r="F522" s="530"/>
      <c r="G522" s="531"/>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444</v>
      </c>
      <c r="C565" s="118"/>
      <c r="D565" s="498" t="s">
        <v>121</v>
      </c>
      <c r="E565" s="498"/>
      <c r="F565" s="498" t="s">
        <v>122</v>
      </c>
      <c r="G565" s="498"/>
      <c r="H565" s="498" t="s">
        <v>123</v>
      </c>
      <c r="I565" s="498"/>
      <c r="J565" s="498" t="s">
        <v>124</v>
      </c>
      <c r="K565" s="498"/>
      <c r="L565" s="185"/>
      <c r="M565" s="97"/>
    </row>
    <row r="566" spans="2:13" s="78" customFormat="1" ht="35.25" customHeight="1" x14ac:dyDescent="0.2">
      <c r="B566" s="499" t="s">
        <v>439</v>
      </c>
      <c r="C566" s="500"/>
      <c r="D566" s="562"/>
      <c r="E566" s="483"/>
      <c r="F566" s="562"/>
      <c r="G566" s="483"/>
      <c r="H566" s="482"/>
      <c r="I566" s="483"/>
      <c r="J566" s="557"/>
      <c r="K566" s="558"/>
      <c r="L566" s="185"/>
      <c r="M566" s="97"/>
    </row>
    <row r="567" spans="2:13" s="78" customFormat="1" ht="35.25" customHeight="1" x14ac:dyDescent="0.2">
      <c r="B567" s="499" t="s">
        <v>438</v>
      </c>
      <c r="C567" s="500"/>
      <c r="D567" s="482"/>
      <c r="E567" s="483"/>
      <c r="F567" s="482"/>
      <c r="G567" s="483"/>
      <c r="H567" s="482"/>
      <c r="I567" s="483"/>
      <c r="J567" s="557"/>
      <c r="K567" s="558"/>
      <c r="L567" s="185"/>
      <c r="M567" s="97"/>
    </row>
    <row r="568" spans="2:13" s="78" customFormat="1" ht="35.25" customHeight="1" x14ac:dyDescent="0.2">
      <c r="B568" s="499" t="s">
        <v>437</v>
      </c>
      <c r="C568" s="500"/>
      <c r="D568" s="482"/>
      <c r="E568" s="483"/>
      <c r="F568" s="482"/>
      <c r="G568" s="483"/>
      <c r="H568" s="482"/>
      <c r="I568" s="483"/>
      <c r="J568" s="557"/>
      <c r="K568" s="558"/>
      <c r="L568" s="185"/>
      <c r="M568" s="97"/>
    </row>
    <row r="569" spans="2:13" s="78" customFormat="1" ht="35.25" customHeight="1" x14ac:dyDescent="0.2">
      <c r="B569" s="186"/>
      <c r="C569" s="230" t="s">
        <v>34</v>
      </c>
      <c r="D569" s="482"/>
      <c r="E569" s="483"/>
      <c r="F569" s="482"/>
      <c r="G569" s="483"/>
      <c r="H569" s="482"/>
      <c r="I569" s="483"/>
      <c r="J569" s="557"/>
      <c r="K569" s="558"/>
      <c r="L569" s="185"/>
      <c r="M569" s="97"/>
    </row>
    <row r="570" spans="2:13" s="78" customFormat="1" ht="35.25" customHeight="1" x14ac:dyDescent="0.2">
      <c r="B570" s="186"/>
      <c r="C570" s="230" t="s">
        <v>35</v>
      </c>
      <c r="D570" s="482"/>
      <c r="E570" s="483"/>
      <c r="F570" s="482"/>
      <c r="G570" s="483"/>
      <c r="H570" s="482"/>
      <c r="I570" s="483"/>
      <c r="J570" s="557"/>
      <c r="K570" s="558"/>
      <c r="L570" s="185"/>
      <c r="M570" s="97"/>
    </row>
    <row r="571" spans="2:13" s="78" customFormat="1" ht="35.25" customHeight="1" x14ac:dyDescent="0.2">
      <c r="B571" s="186"/>
      <c r="C571" s="231" t="s">
        <v>445</v>
      </c>
      <c r="D571" s="482"/>
      <c r="E571" s="483"/>
      <c r="F571" s="482"/>
      <c r="G571" s="483"/>
      <c r="H571" s="482"/>
      <c r="I571" s="483"/>
      <c r="J571" s="557"/>
      <c r="K571" s="558"/>
      <c r="L571" s="185"/>
      <c r="M571" s="97"/>
    </row>
    <row r="572" spans="2:13" s="78" customFormat="1" ht="35.25" customHeight="1" x14ac:dyDescent="0.2">
      <c r="B572" s="511" t="s">
        <v>469</v>
      </c>
      <c r="C572" s="512"/>
      <c r="D572" s="562"/>
      <c r="E572" s="493"/>
      <c r="F572" s="562"/>
      <c r="G572" s="483"/>
      <c r="H572" s="482"/>
      <c r="I572" s="483"/>
      <c r="J572" s="557"/>
      <c r="K572" s="558"/>
      <c r="L572" s="185"/>
      <c r="M572" s="97"/>
    </row>
    <row r="573" spans="2:13" s="78" customFormat="1" ht="18" customHeight="1" x14ac:dyDescent="0.2">
      <c r="B573" s="184"/>
      <c r="C573" s="118"/>
      <c r="D573" s="532"/>
      <c r="E573" s="532"/>
      <c r="F573" s="532"/>
      <c r="G573" s="532"/>
      <c r="H573" s="532"/>
      <c r="I573" s="532"/>
      <c r="J573" s="532"/>
      <c r="K573" s="532"/>
      <c r="L573" s="185"/>
      <c r="M573" s="97"/>
    </row>
    <row r="574" spans="2:13" s="78" customFormat="1" ht="18" customHeight="1" x14ac:dyDescent="0.2">
      <c r="B574" s="187" t="s">
        <v>442</v>
      </c>
      <c r="C574" s="118"/>
      <c r="D574" s="498" t="s">
        <v>121</v>
      </c>
      <c r="E574" s="498"/>
      <c r="F574" s="498" t="s">
        <v>122</v>
      </c>
      <c r="G574" s="498"/>
      <c r="H574" s="498" t="s">
        <v>123</v>
      </c>
      <c r="I574" s="498"/>
      <c r="J574" s="498" t="s">
        <v>124</v>
      </c>
      <c r="K574" s="498"/>
      <c r="L574" s="185"/>
      <c r="M574" s="97"/>
    </row>
    <row r="575" spans="2:13" s="78" customFormat="1" ht="31.5" customHeight="1" x14ac:dyDescent="0.2">
      <c r="B575" s="499" t="s">
        <v>81</v>
      </c>
      <c r="C575" s="500"/>
      <c r="D575" s="482"/>
      <c r="E575" s="483"/>
      <c r="F575" s="482"/>
      <c r="G575" s="483"/>
      <c r="H575" s="482"/>
      <c r="I575" s="483"/>
      <c r="J575" s="557"/>
      <c r="K575" s="558"/>
      <c r="L575" s="185"/>
      <c r="M575" s="97"/>
    </row>
    <row r="576" spans="2:13" s="78" customFormat="1" ht="31.5" customHeight="1" x14ac:dyDescent="0.2">
      <c r="B576" s="499" t="s">
        <v>440</v>
      </c>
      <c r="C576" s="500"/>
      <c r="D576" s="482"/>
      <c r="E576" s="483"/>
      <c r="F576" s="482"/>
      <c r="G576" s="483"/>
      <c r="H576" s="482"/>
      <c r="I576" s="483"/>
      <c r="J576" s="557"/>
      <c r="K576" s="558"/>
      <c r="L576" s="185"/>
      <c r="M576" s="97"/>
    </row>
    <row r="577" spans="2:13" s="78" customFormat="1" ht="31.5" customHeight="1" x14ac:dyDescent="0.2">
      <c r="B577" s="499" t="s">
        <v>246</v>
      </c>
      <c r="C577" s="500"/>
      <c r="D577" s="482"/>
      <c r="E577" s="483"/>
      <c r="F577" s="482"/>
      <c r="G577" s="483"/>
      <c r="H577" s="482"/>
      <c r="I577" s="483"/>
      <c r="J577" s="557"/>
      <c r="K577" s="558"/>
      <c r="L577" s="185"/>
      <c r="M577" s="97"/>
    </row>
    <row r="578" spans="2:13" s="78" customFormat="1" ht="31.5" customHeight="1" x14ac:dyDescent="0.2">
      <c r="B578" s="563" t="s">
        <v>83</v>
      </c>
      <c r="C578" s="564"/>
      <c r="D578" s="482"/>
      <c r="E578" s="483"/>
      <c r="F578" s="482"/>
      <c r="G578" s="483"/>
      <c r="H578" s="482"/>
      <c r="I578" s="483"/>
      <c r="J578" s="557"/>
      <c r="K578" s="558"/>
      <c r="L578" s="185"/>
      <c r="M578" s="97"/>
    </row>
    <row r="579" spans="2:13" s="78" customFormat="1" ht="31.5" customHeight="1" x14ac:dyDescent="0.2">
      <c r="B579" s="499" t="s">
        <v>441</v>
      </c>
      <c r="C579" s="500"/>
      <c r="D579" s="482"/>
      <c r="E579" s="483"/>
      <c r="F579" s="482"/>
      <c r="G579" s="483"/>
      <c r="H579" s="482"/>
      <c r="I579" s="483"/>
      <c r="J579" s="557"/>
      <c r="K579" s="558"/>
      <c r="L579" s="185"/>
      <c r="M579" s="97"/>
    </row>
    <row r="580" spans="2:13" s="78" customFormat="1" ht="31.5" customHeight="1" x14ac:dyDescent="0.2">
      <c r="B580" s="499" t="s">
        <v>84</v>
      </c>
      <c r="C580" s="500"/>
      <c r="D580" s="482"/>
      <c r="E580" s="483"/>
      <c r="F580" s="482"/>
      <c r="G580" s="483"/>
      <c r="H580" s="482"/>
      <c r="I580" s="483"/>
      <c r="J580" s="557"/>
      <c r="K580" s="558"/>
      <c r="L580" s="185"/>
      <c r="M580" s="97"/>
    </row>
    <row r="581" spans="2:13" s="78" customFormat="1" ht="18" customHeight="1" x14ac:dyDescent="0.2">
      <c r="B581" s="184"/>
      <c r="C581" s="118"/>
      <c r="D581" s="532"/>
      <c r="E581" s="532"/>
      <c r="F581" s="532"/>
      <c r="G581" s="532"/>
      <c r="H581" s="532"/>
      <c r="I581" s="532"/>
      <c r="J581" s="532"/>
      <c r="K581" s="532"/>
      <c r="L581" s="185"/>
      <c r="M581" s="97"/>
    </row>
    <row r="582" spans="2:13" s="78" customFormat="1" ht="18" customHeight="1" x14ac:dyDescent="0.2">
      <c r="B582" s="187" t="s">
        <v>443</v>
      </c>
      <c r="C582" s="118"/>
      <c r="D582" s="498" t="s">
        <v>121</v>
      </c>
      <c r="E582" s="498"/>
      <c r="F582" s="498" t="s">
        <v>122</v>
      </c>
      <c r="G582" s="498"/>
      <c r="H582" s="498" t="s">
        <v>123</v>
      </c>
      <c r="I582" s="498"/>
      <c r="J582" s="498" t="s">
        <v>124</v>
      </c>
      <c r="K582" s="498"/>
      <c r="L582" s="185"/>
      <c r="M582" s="97"/>
    </row>
    <row r="583" spans="2:13" s="78" customFormat="1" ht="31.5" customHeight="1" x14ac:dyDescent="0.2">
      <c r="B583" s="499" t="s">
        <v>89</v>
      </c>
      <c r="C583" s="500"/>
      <c r="D583" s="482"/>
      <c r="E583" s="483"/>
      <c r="F583" s="482"/>
      <c r="G583" s="483"/>
      <c r="H583" s="482"/>
      <c r="I583" s="483"/>
      <c r="J583" s="557"/>
      <c r="K583" s="558"/>
      <c r="L583" s="185"/>
      <c r="M583" s="97"/>
    </row>
    <row r="584" spans="2:13" s="78" customFormat="1" ht="31.5" customHeight="1" x14ac:dyDescent="0.2">
      <c r="B584" s="499" t="s">
        <v>90</v>
      </c>
      <c r="C584" s="500"/>
      <c r="D584" s="482"/>
      <c r="E584" s="483"/>
      <c r="F584" s="482"/>
      <c r="G584" s="483"/>
      <c r="H584" s="482"/>
      <c r="I584" s="483"/>
      <c r="J584" s="557"/>
      <c r="K584" s="558"/>
      <c r="L584" s="185"/>
      <c r="M584" s="97"/>
    </row>
    <row r="585" spans="2:13" s="78" customFormat="1" ht="31.5" customHeight="1" x14ac:dyDescent="0.2">
      <c r="B585" s="499" t="s">
        <v>199</v>
      </c>
      <c r="C585" s="500"/>
      <c r="D585" s="482"/>
      <c r="E585" s="483"/>
      <c r="F585" s="482"/>
      <c r="G585" s="483"/>
      <c r="H585" s="482"/>
      <c r="I585" s="483"/>
      <c r="J585" s="557"/>
      <c r="K585" s="558"/>
      <c r="L585" s="185"/>
      <c r="M585" s="97"/>
    </row>
    <row r="586" spans="2:13" s="78" customFormat="1" ht="31.5" customHeight="1" x14ac:dyDescent="0.2">
      <c r="B586" s="563" t="s">
        <v>93</v>
      </c>
      <c r="C586" s="564"/>
      <c r="D586" s="560"/>
      <c r="E586" s="561"/>
      <c r="F586" s="560"/>
      <c r="G586" s="561"/>
      <c r="H586" s="560"/>
      <c r="I586" s="561"/>
      <c r="J586" s="533"/>
      <c r="K586" s="534"/>
      <c r="L586" s="185"/>
      <c r="M586" s="97"/>
    </row>
    <row r="587" spans="2:13" s="78" customFormat="1" ht="31.5" customHeight="1" x14ac:dyDescent="0.2">
      <c r="B587" s="499" t="s">
        <v>247</v>
      </c>
      <c r="C587" s="500"/>
      <c r="D587" s="560"/>
      <c r="E587" s="561"/>
      <c r="F587" s="560"/>
      <c r="G587" s="561"/>
      <c r="H587" s="560"/>
      <c r="I587" s="561"/>
      <c r="J587" s="533"/>
      <c r="K587" s="534"/>
      <c r="L587" s="185"/>
      <c r="M587" s="97"/>
    </row>
    <row r="588" spans="2:13" s="78" customFormat="1" ht="18" customHeight="1" x14ac:dyDescent="0.2">
      <c r="B588" s="184"/>
      <c r="C588" s="118"/>
      <c r="D588" s="532"/>
      <c r="E588" s="532"/>
      <c r="F588" s="532"/>
      <c r="G588" s="532"/>
      <c r="H588" s="532"/>
      <c r="I588" s="532"/>
      <c r="J588" s="532"/>
      <c r="K588" s="532"/>
      <c r="L588" s="185"/>
      <c r="M588" s="97"/>
    </row>
    <row r="589" spans="2:13" s="78" customFormat="1" ht="18" customHeight="1" x14ac:dyDescent="0.2">
      <c r="B589" s="187" t="s">
        <v>1406</v>
      </c>
      <c r="C589" s="118"/>
      <c r="D589" s="498" t="s">
        <v>121</v>
      </c>
      <c r="E589" s="498"/>
      <c r="F589" s="498" t="s">
        <v>122</v>
      </c>
      <c r="G589" s="498"/>
      <c r="H589" s="498" t="s">
        <v>123</v>
      </c>
      <c r="I589" s="498"/>
      <c r="J589" s="498" t="s">
        <v>124</v>
      </c>
      <c r="K589" s="498"/>
      <c r="L589" s="185"/>
      <c r="M589" s="97"/>
    </row>
    <row r="590" spans="2:13" s="78" customFormat="1" ht="31.5" customHeight="1" x14ac:dyDescent="0.2">
      <c r="B590" s="499" t="s">
        <v>243</v>
      </c>
      <c r="C590" s="500"/>
      <c r="D590" s="557" t="str">
        <f>IF(grant_requested_partner1&gt;0,Lists!V2,Lists!V3)</f>
        <v>No</v>
      </c>
      <c r="E590" s="558"/>
      <c r="F590" s="557" t="str">
        <f>IF(grant_requested_partner2&gt;0,Lists!$V$2,Lists!$V$3)</f>
        <v>No</v>
      </c>
      <c r="G590" s="558"/>
      <c r="H590" s="557" t="str">
        <f>IF(grant_requested_partner3&gt;0,Lists!$V$2,Lists!$V$3)</f>
        <v>No</v>
      </c>
      <c r="I590" s="558"/>
      <c r="J590" s="557" t="str">
        <f>IF(grant_requested_partner4&gt;0,Lists!$V$2,Lists!$V$3)</f>
        <v>No</v>
      </c>
      <c r="K590" s="558"/>
      <c r="L590" s="185"/>
      <c r="M590" s="97"/>
    </row>
    <row r="591" spans="2:13" s="78" customFormat="1" ht="31.5" customHeight="1" x14ac:dyDescent="0.2">
      <c r="B591" s="499" t="s">
        <v>244</v>
      </c>
      <c r="C591" s="500"/>
      <c r="D591" s="557" t="str">
        <f>IF(in_kind_partner1+cash_cofinancing_partner1&gt;0,Lists!V2,Lists!V3)</f>
        <v>No</v>
      </c>
      <c r="E591" s="558"/>
      <c r="F591" s="557" t="str">
        <f>IF(in_kind_partner2+cash_cofinancing_partner2&gt;0,Lists!V2,Lists!V3)</f>
        <v>No</v>
      </c>
      <c r="G591" s="558"/>
      <c r="H591" s="557" t="str">
        <f>IF(in_kind_partner3+cash_cofinancing_partner3&gt;0,Lists!V2,Lists!V3)</f>
        <v>No</v>
      </c>
      <c r="I591" s="558"/>
      <c r="J591" s="557" t="str">
        <f>IF(in_kind_partner4+cash_cofinancing_partner4&gt;0,Lists!V2,Lists!V3)</f>
        <v>No</v>
      </c>
      <c r="K591" s="558"/>
      <c r="L591" s="185"/>
      <c r="M591" s="97"/>
    </row>
    <row r="592" spans="2:13" s="78" customFormat="1" ht="31.5" customHeight="1" x14ac:dyDescent="0.2">
      <c r="B592" s="499" t="s">
        <v>32</v>
      </c>
      <c r="C592" s="500"/>
      <c r="D592" s="482"/>
      <c r="E592" s="483"/>
      <c r="F592" s="482"/>
      <c r="G592" s="483"/>
      <c r="H592" s="482"/>
      <c r="I592" s="483"/>
      <c r="J592" s="557"/>
      <c r="K592" s="558"/>
      <c r="L592" s="185"/>
      <c r="M592" s="97"/>
    </row>
    <row r="593" spans="2:13" s="78" customFormat="1" ht="31.5" customHeight="1" x14ac:dyDescent="0.2">
      <c r="B593" s="499" t="s">
        <v>33</v>
      </c>
      <c r="C593" s="500"/>
      <c r="D593" s="482"/>
      <c r="E593" s="483"/>
      <c r="F593" s="482"/>
      <c r="G593" s="483"/>
      <c r="H593" s="482"/>
      <c r="I593" s="483"/>
      <c r="J593" s="557"/>
      <c r="K593" s="558"/>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474</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6" t="s">
        <v>470</v>
      </c>
      <c r="C599" s="497"/>
      <c r="D599" s="559" t="s">
        <v>475</v>
      </c>
      <c r="E599" s="559"/>
      <c r="F599" s="559"/>
      <c r="G599" s="559"/>
      <c r="H599" s="559"/>
      <c r="I599" s="559"/>
      <c r="J599" s="559"/>
      <c r="K599" s="559"/>
      <c r="L599" s="101"/>
      <c r="M599" s="97"/>
    </row>
    <row r="600" spans="2:13" s="78" customFormat="1" ht="12" customHeight="1" x14ac:dyDescent="0.2">
      <c r="B600" s="496"/>
      <c r="C600" s="497"/>
      <c r="D600" s="559"/>
      <c r="E600" s="559"/>
      <c r="F600" s="559"/>
      <c r="G600" s="559"/>
      <c r="H600" s="559"/>
      <c r="I600" s="559"/>
      <c r="J600" s="559"/>
      <c r="K600" s="559"/>
      <c r="L600" s="101"/>
      <c r="M600" s="97"/>
    </row>
    <row r="601" spans="2:13" s="78" customFormat="1" ht="12" customHeight="1" x14ac:dyDescent="0.2">
      <c r="B601" s="496"/>
      <c r="C601" s="497"/>
      <c r="D601" s="559"/>
      <c r="E601" s="559"/>
      <c r="F601" s="559"/>
      <c r="G601" s="559"/>
      <c r="H601" s="559"/>
      <c r="I601" s="559"/>
      <c r="J601" s="559"/>
      <c r="K601" s="559"/>
      <c r="L601" s="101"/>
      <c r="M601" s="97"/>
    </row>
    <row r="602" spans="2:13" s="78" customFormat="1" ht="12" customHeight="1" x14ac:dyDescent="0.2">
      <c r="B602" s="496"/>
      <c r="C602" s="497"/>
      <c r="D602" s="559"/>
      <c r="E602" s="559"/>
      <c r="F602" s="559"/>
      <c r="G602" s="559"/>
      <c r="H602" s="559"/>
      <c r="I602" s="559"/>
      <c r="J602" s="559"/>
      <c r="K602" s="559"/>
      <c r="L602" s="101"/>
      <c r="M602" s="97"/>
    </row>
    <row r="603" spans="2:13" s="78" customFormat="1" ht="12" customHeight="1" x14ac:dyDescent="0.2">
      <c r="B603" s="496"/>
      <c r="C603" s="497"/>
      <c r="D603" s="559"/>
      <c r="E603" s="559"/>
      <c r="F603" s="559"/>
      <c r="G603" s="559"/>
      <c r="H603" s="559"/>
      <c r="I603" s="559"/>
      <c r="J603" s="559"/>
      <c r="K603" s="559"/>
      <c r="L603" s="101"/>
      <c r="M603" s="97"/>
    </row>
    <row r="604" spans="2:13" s="78" customFormat="1" ht="12" customHeight="1" x14ac:dyDescent="0.2">
      <c r="B604" s="496"/>
      <c r="C604" s="497"/>
      <c r="D604" s="559"/>
      <c r="E604" s="559"/>
      <c r="F604" s="559"/>
      <c r="G604" s="559"/>
      <c r="H604" s="559"/>
      <c r="I604" s="559"/>
      <c r="J604" s="559"/>
      <c r="K604" s="559"/>
      <c r="L604" s="101"/>
      <c r="M604" s="97"/>
    </row>
    <row r="605" spans="2:13" s="78" customFormat="1" ht="12" customHeight="1" x14ac:dyDescent="0.2">
      <c r="B605" s="496"/>
      <c r="C605" s="497"/>
      <c r="D605" s="559"/>
      <c r="E605" s="559"/>
      <c r="F605" s="559"/>
      <c r="G605" s="559"/>
      <c r="H605" s="559"/>
      <c r="I605" s="559"/>
      <c r="J605" s="559"/>
      <c r="K605" s="559"/>
      <c r="L605" s="101"/>
      <c r="M605" s="97"/>
    </row>
    <row r="606" spans="2:13" s="78" customFormat="1" ht="12" customHeight="1" x14ac:dyDescent="0.2">
      <c r="B606" s="496"/>
      <c r="C606" s="497"/>
      <c r="D606" s="559"/>
      <c r="E606" s="559"/>
      <c r="F606" s="559"/>
      <c r="G606" s="559"/>
      <c r="H606" s="559"/>
      <c r="I606" s="559"/>
      <c r="J606" s="559"/>
      <c r="K606" s="559"/>
      <c r="L606" s="101"/>
      <c r="M606" s="97"/>
    </row>
    <row r="607" spans="2:13" s="78" customFormat="1" ht="12" customHeight="1" x14ac:dyDescent="0.2">
      <c r="B607" s="496"/>
      <c r="C607" s="497"/>
      <c r="D607" s="559"/>
      <c r="E607" s="559"/>
      <c r="F607" s="559"/>
      <c r="G607" s="559"/>
      <c r="H607" s="559"/>
      <c r="I607" s="559"/>
      <c r="J607" s="559"/>
      <c r="K607" s="559"/>
      <c r="L607" s="101"/>
      <c r="M607" s="97"/>
    </row>
    <row r="608" spans="2:13" s="78" customFormat="1" ht="12" customHeight="1" x14ac:dyDescent="0.2">
      <c r="B608" s="496"/>
      <c r="C608" s="497"/>
      <c r="D608" s="559"/>
      <c r="E608" s="559"/>
      <c r="F608" s="559"/>
      <c r="G608" s="559"/>
      <c r="H608" s="559"/>
      <c r="I608" s="559"/>
      <c r="J608" s="559"/>
      <c r="K608" s="559"/>
      <c r="L608" s="101"/>
      <c r="M608" s="97"/>
    </row>
    <row r="609" spans="2:13" s="78" customFormat="1" ht="12" customHeight="1" x14ac:dyDescent="0.2">
      <c r="B609" s="496"/>
      <c r="C609" s="497"/>
      <c r="D609" s="559"/>
      <c r="E609" s="559"/>
      <c r="F609" s="559"/>
      <c r="G609" s="559"/>
      <c r="H609" s="559"/>
      <c r="I609" s="559"/>
      <c r="J609" s="559"/>
      <c r="K609" s="559"/>
      <c r="L609" s="101"/>
      <c r="M609" s="97"/>
    </row>
    <row r="610" spans="2:13" s="78" customFormat="1" ht="12" customHeight="1" x14ac:dyDescent="0.2">
      <c r="B610" s="496"/>
      <c r="C610" s="497"/>
      <c r="D610" s="559"/>
      <c r="E610" s="559"/>
      <c r="F610" s="559"/>
      <c r="G610" s="559"/>
      <c r="H610" s="559"/>
      <c r="I610" s="559"/>
      <c r="J610" s="559"/>
      <c r="K610" s="559"/>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6" t="s">
        <v>471</v>
      </c>
      <c r="C612" s="497"/>
      <c r="D612" s="513"/>
      <c r="E612" s="513"/>
      <c r="F612" s="513"/>
      <c r="G612" s="513"/>
      <c r="H612" s="513"/>
      <c r="I612" s="513"/>
      <c r="J612" s="513"/>
      <c r="K612" s="513"/>
      <c r="L612" s="101"/>
      <c r="M612" s="97"/>
    </row>
    <row r="613" spans="2:13" s="78" customFormat="1" ht="12" customHeight="1" x14ac:dyDescent="0.2">
      <c r="B613" s="496"/>
      <c r="C613" s="497"/>
      <c r="D613" s="513"/>
      <c r="E613" s="513"/>
      <c r="F613" s="513"/>
      <c r="G613" s="513"/>
      <c r="H613" s="513"/>
      <c r="I613" s="513"/>
      <c r="J613" s="513"/>
      <c r="K613" s="513"/>
      <c r="L613" s="101"/>
      <c r="M613" s="97"/>
    </row>
    <row r="614" spans="2:13" s="78" customFormat="1" ht="12" customHeight="1" x14ac:dyDescent="0.2">
      <c r="B614" s="496"/>
      <c r="C614" s="497"/>
      <c r="D614" s="513"/>
      <c r="E614" s="513"/>
      <c r="F614" s="513"/>
      <c r="G614" s="513"/>
      <c r="H614" s="513"/>
      <c r="I614" s="513"/>
      <c r="J614" s="513"/>
      <c r="K614" s="513"/>
      <c r="L614" s="101"/>
      <c r="M614" s="97"/>
    </row>
    <row r="615" spans="2:13" s="78" customFormat="1" ht="12" customHeight="1" x14ac:dyDescent="0.2">
      <c r="B615" s="496"/>
      <c r="C615" s="497"/>
      <c r="D615" s="513"/>
      <c r="E615" s="513"/>
      <c r="F615" s="513"/>
      <c r="G615" s="513"/>
      <c r="H615" s="513"/>
      <c r="I615" s="513"/>
      <c r="J615" s="513"/>
      <c r="K615" s="513"/>
      <c r="L615" s="101"/>
      <c r="M615" s="97"/>
    </row>
    <row r="616" spans="2:13" s="78" customFormat="1" ht="12" customHeight="1" x14ac:dyDescent="0.2">
      <c r="B616" s="496"/>
      <c r="C616" s="497"/>
      <c r="D616" s="513"/>
      <c r="E616" s="513"/>
      <c r="F616" s="513"/>
      <c r="G616" s="513"/>
      <c r="H616" s="513"/>
      <c r="I616" s="513"/>
      <c r="J616" s="513"/>
      <c r="K616" s="513"/>
      <c r="L616" s="101"/>
      <c r="M616" s="97"/>
    </row>
    <row r="617" spans="2:13" s="78" customFormat="1" ht="12" customHeight="1" x14ac:dyDescent="0.2">
      <c r="B617" s="496"/>
      <c r="C617" s="497"/>
      <c r="D617" s="513"/>
      <c r="E617" s="513"/>
      <c r="F617" s="513"/>
      <c r="G617" s="513"/>
      <c r="H617" s="513"/>
      <c r="I617" s="513"/>
      <c r="J617" s="513"/>
      <c r="K617" s="513"/>
      <c r="L617" s="101"/>
      <c r="M617" s="97"/>
    </row>
    <row r="618" spans="2:13" s="78" customFormat="1" ht="12" customHeight="1" x14ac:dyDescent="0.2">
      <c r="B618" s="496"/>
      <c r="C618" s="497"/>
      <c r="D618" s="513"/>
      <c r="E618" s="513"/>
      <c r="F618" s="513"/>
      <c r="G618" s="513"/>
      <c r="H618" s="513"/>
      <c r="I618" s="513"/>
      <c r="J618" s="513"/>
      <c r="K618" s="513"/>
      <c r="L618" s="101"/>
      <c r="M618" s="97"/>
    </row>
    <row r="619" spans="2:13" s="78" customFormat="1" ht="12" customHeight="1" x14ac:dyDescent="0.2">
      <c r="B619" s="496"/>
      <c r="C619" s="497"/>
      <c r="D619" s="513"/>
      <c r="E619" s="513"/>
      <c r="F619" s="513"/>
      <c r="G619" s="513"/>
      <c r="H619" s="513"/>
      <c r="I619" s="513"/>
      <c r="J619" s="513"/>
      <c r="K619" s="513"/>
      <c r="L619" s="101"/>
      <c r="M619" s="97"/>
    </row>
    <row r="620" spans="2:13" s="78" customFormat="1" ht="12" customHeight="1" x14ac:dyDescent="0.2">
      <c r="B620" s="496"/>
      <c r="C620" s="497"/>
      <c r="D620" s="513"/>
      <c r="E620" s="513"/>
      <c r="F620" s="513"/>
      <c r="G620" s="513"/>
      <c r="H620" s="513"/>
      <c r="I620" s="513"/>
      <c r="J620" s="513"/>
      <c r="K620" s="513"/>
      <c r="L620" s="101"/>
      <c r="M620" s="97"/>
    </row>
    <row r="621" spans="2:13" s="78" customFormat="1" ht="12" customHeight="1" x14ac:dyDescent="0.2">
      <c r="B621" s="496"/>
      <c r="C621" s="497"/>
      <c r="D621" s="513"/>
      <c r="E621" s="513"/>
      <c r="F621" s="513"/>
      <c r="G621" s="513"/>
      <c r="H621" s="513"/>
      <c r="I621" s="513"/>
      <c r="J621" s="513"/>
      <c r="K621" s="513"/>
      <c r="L621" s="101"/>
      <c r="M621" s="97"/>
    </row>
    <row r="622" spans="2:13" s="78" customFormat="1" ht="12" customHeight="1" x14ac:dyDescent="0.2">
      <c r="B622" s="496"/>
      <c r="C622" s="497"/>
      <c r="D622" s="513"/>
      <c r="E622" s="513"/>
      <c r="F622" s="513"/>
      <c r="G622" s="513"/>
      <c r="H622" s="513"/>
      <c r="I622" s="513"/>
      <c r="J622" s="513"/>
      <c r="K622" s="513"/>
      <c r="L622" s="101"/>
      <c r="M622" s="97"/>
    </row>
    <row r="623" spans="2:13" s="78" customFormat="1" ht="12" customHeight="1" x14ac:dyDescent="0.2">
      <c r="B623" s="496"/>
      <c r="C623" s="497"/>
      <c r="D623" s="513"/>
      <c r="E623" s="513"/>
      <c r="F623" s="513"/>
      <c r="G623" s="513"/>
      <c r="H623" s="513"/>
      <c r="I623" s="513"/>
      <c r="J623" s="513"/>
      <c r="K623" s="513"/>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6" t="s">
        <v>472</v>
      </c>
      <c r="C625" s="497"/>
      <c r="D625" s="513"/>
      <c r="E625" s="513"/>
      <c r="F625" s="513"/>
      <c r="G625" s="513"/>
      <c r="H625" s="513"/>
      <c r="I625" s="513"/>
      <c r="J625" s="513"/>
      <c r="K625" s="513"/>
      <c r="L625" s="101"/>
      <c r="M625" s="97"/>
    </row>
    <row r="626" spans="2:13" s="78" customFormat="1" ht="12" customHeight="1" x14ac:dyDescent="0.2">
      <c r="B626" s="496"/>
      <c r="C626" s="497"/>
      <c r="D626" s="513"/>
      <c r="E626" s="513"/>
      <c r="F626" s="513"/>
      <c r="G626" s="513"/>
      <c r="H626" s="513"/>
      <c r="I626" s="513"/>
      <c r="J626" s="513"/>
      <c r="K626" s="513"/>
      <c r="L626" s="101"/>
      <c r="M626" s="97"/>
    </row>
    <row r="627" spans="2:13" s="78" customFormat="1" ht="12" customHeight="1" x14ac:dyDescent="0.2">
      <c r="B627" s="496"/>
      <c r="C627" s="497"/>
      <c r="D627" s="513"/>
      <c r="E627" s="513"/>
      <c r="F627" s="513"/>
      <c r="G627" s="513"/>
      <c r="H627" s="513"/>
      <c r="I627" s="513"/>
      <c r="J627" s="513"/>
      <c r="K627" s="513"/>
      <c r="L627" s="101"/>
      <c r="M627" s="97"/>
    </row>
    <row r="628" spans="2:13" s="78" customFormat="1" ht="12" customHeight="1" x14ac:dyDescent="0.2">
      <c r="B628" s="496"/>
      <c r="C628" s="497"/>
      <c r="D628" s="513"/>
      <c r="E628" s="513"/>
      <c r="F628" s="513"/>
      <c r="G628" s="513"/>
      <c r="H628" s="513"/>
      <c r="I628" s="513"/>
      <c r="J628" s="513"/>
      <c r="K628" s="513"/>
      <c r="L628" s="101"/>
      <c r="M628" s="97"/>
    </row>
    <row r="629" spans="2:13" s="78" customFormat="1" ht="12" customHeight="1" x14ac:dyDescent="0.2">
      <c r="B629" s="496"/>
      <c r="C629" s="497"/>
      <c r="D629" s="513"/>
      <c r="E629" s="513"/>
      <c r="F629" s="513"/>
      <c r="G629" s="513"/>
      <c r="H629" s="513"/>
      <c r="I629" s="513"/>
      <c r="J629" s="513"/>
      <c r="K629" s="513"/>
      <c r="L629" s="101"/>
      <c r="M629" s="97"/>
    </row>
    <row r="630" spans="2:13" s="78" customFormat="1" ht="12" customHeight="1" x14ac:dyDescent="0.2">
      <c r="B630" s="496"/>
      <c r="C630" s="497"/>
      <c r="D630" s="513"/>
      <c r="E630" s="513"/>
      <c r="F630" s="513"/>
      <c r="G630" s="513"/>
      <c r="H630" s="513"/>
      <c r="I630" s="513"/>
      <c r="J630" s="513"/>
      <c r="K630" s="513"/>
      <c r="L630" s="101"/>
      <c r="M630" s="97"/>
    </row>
    <row r="631" spans="2:13" s="78" customFormat="1" ht="12" customHeight="1" x14ac:dyDescent="0.2">
      <c r="B631" s="496"/>
      <c r="C631" s="497"/>
      <c r="D631" s="513"/>
      <c r="E631" s="513"/>
      <c r="F631" s="513"/>
      <c r="G631" s="513"/>
      <c r="H631" s="513"/>
      <c r="I631" s="513"/>
      <c r="J631" s="513"/>
      <c r="K631" s="513"/>
      <c r="L631" s="101"/>
      <c r="M631" s="97"/>
    </row>
    <row r="632" spans="2:13" s="78" customFormat="1" ht="12" customHeight="1" x14ac:dyDescent="0.2">
      <c r="B632" s="496"/>
      <c r="C632" s="497"/>
      <c r="D632" s="513"/>
      <c r="E632" s="513"/>
      <c r="F632" s="513"/>
      <c r="G632" s="513"/>
      <c r="H632" s="513"/>
      <c r="I632" s="513"/>
      <c r="J632" s="513"/>
      <c r="K632" s="513"/>
      <c r="L632" s="101"/>
      <c r="M632" s="97"/>
    </row>
    <row r="633" spans="2:13" s="78" customFormat="1" ht="12" customHeight="1" x14ac:dyDescent="0.2">
      <c r="B633" s="496"/>
      <c r="C633" s="497"/>
      <c r="D633" s="513"/>
      <c r="E633" s="513"/>
      <c r="F633" s="513"/>
      <c r="G633" s="513"/>
      <c r="H633" s="513"/>
      <c r="I633" s="513"/>
      <c r="J633" s="513"/>
      <c r="K633" s="513"/>
      <c r="L633" s="101"/>
      <c r="M633" s="97"/>
    </row>
    <row r="634" spans="2:13" s="78" customFormat="1" ht="12" customHeight="1" x14ac:dyDescent="0.2">
      <c r="B634" s="496"/>
      <c r="C634" s="497"/>
      <c r="D634" s="513"/>
      <c r="E634" s="513"/>
      <c r="F634" s="513"/>
      <c r="G634" s="513"/>
      <c r="H634" s="513"/>
      <c r="I634" s="513"/>
      <c r="J634" s="513"/>
      <c r="K634" s="513"/>
      <c r="L634" s="101"/>
      <c r="M634" s="97"/>
    </row>
    <row r="635" spans="2:13" s="78" customFormat="1" ht="12" customHeight="1" x14ac:dyDescent="0.2">
      <c r="B635" s="496"/>
      <c r="C635" s="497"/>
      <c r="D635" s="513"/>
      <c r="E635" s="513"/>
      <c r="F635" s="513"/>
      <c r="G635" s="513"/>
      <c r="H635" s="513"/>
      <c r="I635" s="513"/>
      <c r="J635" s="513"/>
      <c r="K635" s="513"/>
      <c r="L635" s="101"/>
      <c r="M635" s="97"/>
    </row>
    <row r="636" spans="2:13" s="78" customFormat="1" ht="12" customHeight="1" x14ac:dyDescent="0.2">
      <c r="B636" s="496"/>
      <c r="C636" s="497"/>
      <c r="D636" s="513"/>
      <c r="E636" s="513"/>
      <c r="F636" s="513"/>
      <c r="G636" s="513"/>
      <c r="H636" s="513"/>
      <c r="I636" s="513"/>
      <c r="J636" s="513"/>
      <c r="K636" s="513"/>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hidden="1" customHeight="1" x14ac:dyDescent="0.2">
      <c r="B638" s="496" t="s">
        <v>473</v>
      </c>
      <c r="C638" s="497"/>
      <c r="D638" s="513"/>
      <c r="E638" s="513"/>
      <c r="F638" s="513"/>
      <c r="G638" s="513"/>
      <c r="H638" s="513"/>
      <c r="I638" s="513"/>
      <c r="J638" s="513"/>
      <c r="K638" s="513"/>
      <c r="L638" s="101"/>
      <c r="M638" s="97"/>
    </row>
    <row r="639" spans="2:13" s="78" customFormat="1" ht="12" hidden="1" customHeight="1" x14ac:dyDescent="0.2">
      <c r="B639" s="496"/>
      <c r="C639" s="497"/>
      <c r="D639" s="513"/>
      <c r="E639" s="513"/>
      <c r="F639" s="513"/>
      <c r="G639" s="513"/>
      <c r="H639" s="513"/>
      <c r="I639" s="513"/>
      <c r="J639" s="513"/>
      <c r="K639" s="513"/>
      <c r="L639" s="101"/>
      <c r="M639" s="97"/>
    </row>
    <row r="640" spans="2:13" s="78" customFormat="1" ht="12" hidden="1" customHeight="1" x14ac:dyDescent="0.2">
      <c r="B640" s="496"/>
      <c r="C640" s="497"/>
      <c r="D640" s="513"/>
      <c r="E640" s="513"/>
      <c r="F640" s="513"/>
      <c r="G640" s="513"/>
      <c r="H640" s="513"/>
      <c r="I640" s="513"/>
      <c r="J640" s="513"/>
      <c r="K640" s="513"/>
      <c r="L640" s="101"/>
      <c r="M640" s="97"/>
    </row>
    <row r="641" spans="2:13" s="78" customFormat="1" ht="12" hidden="1" customHeight="1" x14ac:dyDescent="0.2">
      <c r="B641" s="496"/>
      <c r="C641" s="497"/>
      <c r="D641" s="513"/>
      <c r="E641" s="513"/>
      <c r="F641" s="513"/>
      <c r="G641" s="513"/>
      <c r="H641" s="513"/>
      <c r="I641" s="513"/>
      <c r="J641" s="513"/>
      <c r="K641" s="513"/>
      <c r="L641" s="101"/>
      <c r="M641" s="97"/>
    </row>
    <row r="642" spans="2:13" s="78" customFormat="1" ht="12" hidden="1" customHeight="1" x14ac:dyDescent="0.2">
      <c r="B642" s="496"/>
      <c r="C642" s="497"/>
      <c r="D642" s="513"/>
      <c r="E642" s="513"/>
      <c r="F642" s="513"/>
      <c r="G642" s="513"/>
      <c r="H642" s="513"/>
      <c r="I642" s="513"/>
      <c r="J642" s="513"/>
      <c r="K642" s="513"/>
      <c r="L642" s="101"/>
      <c r="M642" s="97"/>
    </row>
    <row r="643" spans="2:13" s="78" customFormat="1" ht="12" hidden="1" customHeight="1" x14ac:dyDescent="0.2">
      <c r="B643" s="496"/>
      <c r="C643" s="497"/>
      <c r="D643" s="513"/>
      <c r="E643" s="513"/>
      <c r="F643" s="513"/>
      <c r="G643" s="513"/>
      <c r="H643" s="513"/>
      <c r="I643" s="513"/>
      <c r="J643" s="513"/>
      <c r="K643" s="513"/>
      <c r="L643" s="101"/>
      <c r="M643" s="97"/>
    </row>
    <row r="644" spans="2:13" s="78" customFormat="1" ht="12" hidden="1" customHeight="1" x14ac:dyDescent="0.2">
      <c r="B644" s="496"/>
      <c r="C644" s="497"/>
      <c r="D644" s="513"/>
      <c r="E644" s="513"/>
      <c r="F644" s="513"/>
      <c r="G644" s="513"/>
      <c r="H644" s="513"/>
      <c r="I644" s="513"/>
      <c r="J644" s="513"/>
      <c r="K644" s="513"/>
      <c r="L644" s="101"/>
      <c r="M644" s="97"/>
    </row>
    <row r="645" spans="2:13" s="78" customFormat="1" ht="12" hidden="1" customHeight="1" x14ac:dyDescent="0.2">
      <c r="B645" s="496"/>
      <c r="C645" s="497"/>
      <c r="D645" s="513"/>
      <c r="E645" s="513"/>
      <c r="F645" s="513"/>
      <c r="G645" s="513"/>
      <c r="H645" s="513"/>
      <c r="I645" s="513"/>
      <c r="J645" s="513"/>
      <c r="K645" s="513"/>
      <c r="L645" s="101"/>
      <c r="M645" s="97"/>
    </row>
    <row r="646" spans="2:13" s="78" customFormat="1" ht="12" hidden="1" customHeight="1" x14ac:dyDescent="0.2">
      <c r="B646" s="496"/>
      <c r="C646" s="497"/>
      <c r="D646" s="513"/>
      <c r="E646" s="513"/>
      <c r="F646" s="513"/>
      <c r="G646" s="513"/>
      <c r="H646" s="513"/>
      <c r="I646" s="513"/>
      <c r="J646" s="513"/>
      <c r="K646" s="513"/>
      <c r="L646" s="101"/>
      <c r="M646" s="97"/>
    </row>
    <row r="647" spans="2:13" s="78" customFormat="1" ht="12" hidden="1" customHeight="1" x14ac:dyDescent="0.2">
      <c r="B647" s="496"/>
      <c r="C647" s="497"/>
      <c r="D647" s="513"/>
      <c r="E647" s="513"/>
      <c r="F647" s="513"/>
      <c r="G647" s="513"/>
      <c r="H647" s="513"/>
      <c r="I647" s="513"/>
      <c r="J647" s="513"/>
      <c r="K647" s="513"/>
      <c r="L647" s="101"/>
      <c r="M647" s="97"/>
    </row>
    <row r="648" spans="2:13" s="78" customFormat="1" ht="12" hidden="1" customHeight="1" x14ac:dyDescent="0.2">
      <c r="B648" s="496"/>
      <c r="C648" s="497"/>
      <c r="D648" s="513"/>
      <c r="E648" s="513"/>
      <c r="F648" s="513"/>
      <c r="G648" s="513"/>
      <c r="H648" s="513"/>
      <c r="I648" s="513"/>
      <c r="J648" s="513"/>
      <c r="K648" s="513"/>
      <c r="L648" s="101"/>
      <c r="M648" s="97"/>
    </row>
    <row r="649" spans="2:13" s="78" customFormat="1" ht="12" hidden="1" customHeight="1" x14ac:dyDescent="0.2">
      <c r="B649" s="496"/>
      <c r="C649" s="497"/>
      <c r="D649" s="513"/>
      <c r="E649" s="513"/>
      <c r="F649" s="513"/>
      <c r="G649" s="513"/>
      <c r="H649" s="513"/>
      <c r="I649" s="513"/>
      <c r="J649" s="513"/>
      <c r="K649" s="513"/>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1334</v>
      </c>
      <c r="C653" s="392"/>
      <c r="D653" s="392"/>
      <c r="E653" s="392"/>
      <c r="F653" s="392"/>
      <c r="G653" s="392"/>
      <c r="H653" s="392"/>
      <c r="I653" s="392"/>
      <c r="J653" s="392"/>
      <c r="K653" s="392"/>
      <c r="L653" s="393"/>
    </row>
    <row r="654" spans="2:13" s="97" customFormat="1" ht="12" customHeight="1" x14ac:dyDescent="0.2">
      <c r="B654" s="246" t="s">
        <v>1335</v>
      </c>
      <c r="L654" s="400"/>
    </row>
    <row r="655" spans="2:13" s="97" customFormat="1" ht="12" customHeight="1" x14ac:dyDescent="0.2">
      <c r="B655" s="102"/>
      <c r="L655" s="400"/>
    </row>
    <row r="656" spans="2:13" ht="18" customHeight="1" x14ac:dyDescent="0.2">
      <c r="B656" s="187" t="s">
        <v>1336</v>
      </c>
      <c r="C656" s="82"/>
      <c r="D656" s="83"/>
      <c r="E656" s="83"/>
      <c r="F656" s="83"/>
      <c r="G656" s="83"/>
      <c r="H656" s="83"/>
      <c r="I656" s="83"/>
      <c r="J656" s="83"/>
      <c r="K656" s="83"/>
      <c r="L656" s="6"/>
    </row>
    <row r="657" spans="2:13" ht="18" customHeight="1" x14ac:dyDescent="0.2">
      <c r="B657" s="262" t="s">
        <v>1337</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474" t="s">
        <v>1338</v>
      </c>
      <c r="E659" s="475"/>
      <c r="F659" s="475"/>
      <c r="G659" s="475"/>
      <c r="H659" s="476"/>
      <c r="I659" s="269"/>
      <c r="J659" s="83"/>
      <c r="K659" s="83"/>
      <c r="L659" s="6"/>
    </row>
    <row r="660" spans="2:13" ht="36" customHeight="1" x14ac:dyDescent="0.2">
      <c r="B660" s="1"/>
      <c r="C660" s="82"/>
      <c r="D660" s="474" t="s">
        <v>1339</v>
      </c>
      <c r="E660" s="475"/>
      <c r="F660" s="475"/>
      <c r="G660" s="475"/>
      <c r="H660" s="476"/>
      <c r="I660" s="269"/>
      <c r="J660" s="83"/>
      <c r="K660" s="83"/>
      <c r="L660" s="6"/>
    </row>
    <row r="661" spans="2:13" ht="36" customHeight="1" x14ac:dyDescent="0.2">
      <c r="B661" s="1"/>
      <c r="C661" s="82"/>
      <c r="D661" s="474" t="s">
        <v>1340</v>
      </c>
      <c r="E661" s="475"/>
      <c r="F661" s="475"/>
      <c r="G661" s="475"/>
      <c r="H661" s="476"/>
      <c r="I661" s="269"/>
      <c r="J661" s="83"/>
      <c r="K661" s="83"/>
      <c r="L661" s="6"/>
    </row>
    <row r="662" spans="2:13" ht="36" customHeight="1" x14ac:dyDescent="0.2">
      <c r="B662" s="1"/>
      <c r="C662" s="82"/>
      <c r="D662" s="474" t="s">
        <v>1341</v>
      </c>
      <c r="E662" s="475"/>
      <c r="F662" s="475"/>
      <c r="G662" s="475"/>
      <c r="H662" s="476"/>
      <c r="I662" s="269"/>
      <c r="J662" s="83"/>
      <c r="K662" s="83"/>
      <c r="L662" s="6"/>
    </row>
    <row r="663" spans="2:13" ht="36" customHeight="1" x14ac:dyDescent="0.2">
      <c r="B663" s="1"/>
      <c r="C663" s="82"/>
      <c r="D663" s="399" t="s">
        <v>52</v>
      </c>
      <c r="E663" s="463"/>
      <c r="F663" s="464"/>
      <c r="G663" s="464"/>
      <c r="H663" s="464"/>
      <c r="I663" s="465"/>
      <c r="J663" s="83"/>
      <c r="K663" s="83"/>
      <c r="L663" s="6"/>
    </row>
    <row r="664" spans="2:13" s="97" customFormat="1" ht="12" customHeight="1" x14ac:dyDescent="0.2">
      <c r="B664" s="102"/>
      <c r="M664" s="102"/>
    </row>
    <row r="665" spans="2:13" ht="18" customHeight="1" x14ac:dyDescent="0.2">
      <c r="B665" s="187" t="s">
        <v>1342</v>
      </c>
      <c r="C665" s="82"/>
      <c r="D665" s="83"/>
      <c r="E665" s="83"/>
      <c r="F665" s="83"/>
      <c r="G665" s="83"/>
      <c r="H665" s="83"/>
      <c r="I665" s="83"/>
      <c r="J665" s="83"/>
      <c r="K665" s="83"/>
      <c r="L665" s="6"/>
    </row>
    <row r="666" spans="2:13" ht="18" customHeight="1" x14ac:dyDescent="0.2">
      <c r="B666" s="262" t="s">
        <v>1337</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460" t="s">
        <v>1343</v>
      </c>
      <c r="E668" s="461"/>
      <c r="F668" s="461"/>
      <c r="G668" s="461"/>
      <c r="H668" s="462"/>
      <c r="I668" s="269"/>
      <c r="J668" s="83"/>
      <c r="K668" s="83"/>
      <c r="L668" s="6"/>
    </row>
    <row r="669" spans="2:13" ht="36" customHeight="1" x14ac:dyDescent="0.2">
      <c r="B669" s="1"/>
      <c r="C669" s="82"/>
      <c r="D669" s="460" t="s">
        <v>1344</v>
      </c>
      <c r="E669" s="461"/>
      <c r="F669" s="461"/>
      <c r="G669" s="461"/>
      <c r="H669" s="462"/>
      <c r="I669" s="269"/>
      <c r="J669" s="83"/>
      <c r="K669" s="83"/>
      <c r="L669" s="6"/>
    </row>
    <row r="670" spans="2:13" ht="36" customHeight="1" x14ac:dyDescent="0.2">
      <c r="B670" s="1"/>
      <c r="C670" s="82"/>
      <c r="D670" s="460" t="s">
        <v>1345</v>
      </c>
      <c r="E670" s="461"/>
      <c r="F670" s="461"/>
      <c r="G670" s="461"/>
      <c r="H670" s="462"/>
      <c r="I670" s="269"/>
      <c r="J670" s="83"/>
      <c r="K670" s="83"/>
      <c r="L670" s="6"/>
    </row>
    <row r="671" spans="2:13" ht="36" customHeight="1" x14ac:dyDescent="0.2">
      <c r="B671" s="1"/>
      <c r="C671" s="82"/>
      <c r="D671" s="460" t="s">
        <v>1346</v>
      </c>
      <c r="E671" s="461"/>
      <c r="F671" s="461"/>
      <c r="G671" s="461"/>
      <c r="H671" s="462"/>
      <c r="I671" s="269"/>
      <c r="J671" s="83"/>
      <c r="K671" s="83"/>
      <c r="L671" s="6"/>
    </row>
    <row r="672" spans="2:13" ht="36" customHeight="1" x14ac:dyDescent="0.2">
      <c r="B672" s="1"/>
      <c r="C672" s="82"/>
      <c r="D672" s="460" t="s">
        <v>1347</v>
      </c>
      <c r="E672" s="461"/>
      <c r="F672" s="461"/>
      <c r="G672" s="461"/>
      <c r="H672" s="462"/>
      <c r="I672" s="269"/>
      <c r="J672" s="83"/>
      <c r="K672" s="83"/>
      <c r="L672" s="6"/>
    </row>
    <row r="673" spans="2:14" ht="36" customHeight="1" x14ac:dyDescent="0.2">
      <c r="B673" s="1"/>
      <c r="C673" s="82"/>
      <c r="D673" s="460" t="s">
        <v>1348</v>
      </c>
      <c r="E673" s="461"/>
      <c r="F673" s="461"/>
      <c r="G673" s="461"/>
      <c r="H673" s="462"/>
      <c r="I673" s="269"/>
      <c r="J673" s="83"/>
      <c r="K673" s="83"/>
      <c r="L673" s="390"/>
    </row>
    <row r="674" spans="2:14" ht="36" customHeight="1" x14ac:dyDescent="0.2">
      <c r="B674" s="1"/>
      <c r="C674" s="82"/>
      <c r="D674" s="460" t="s">
        <v>1349</v>
      </c>
      <c r="E674" s="461"/>
      <c r="F674" s="461"/>
      <c r="G674" s="461"/>
      <c r="H674" s="462"/>
      <c r="I674" s="269"/>
      <c r="J674" s="83"/>
      <c r="K674" s="83"/>
      <c r="L674" s="390"/>
    </row>
    <row r="675" spans="2:14" ht="36" customHeight="1" x14ac:dyDescent="0.2">
      <c r="B675" s="1"/>
      <c r="C675" s="82"/>
      <c r="D675" s="399" t="s">
        <v>52</v>
      </c>
      <c r="E675" s="463"/>
      <c r="F675" s="464"/>
      <c r="G675" s="464"/>
      <c r="H675" s="464"/>
      <c r="I675" s="465"/>
      <c r="J675" s="83"/>
      <c r="K675" s="83"/>
      <c r="L675" s="6"/>
    </row>
    <row r="676" spans="2:14" s="97" customFormat="1" ht="12" customHeight="1" x14ac:dyDescent="0.2">
      <c r="B676" s="402"/>
      <c r="C676" s="401"/>
      <c r="D676" s="401"/>
      <c r="E676" s="401"/>
      <c r="F676" s="401"/>
      <c r="G676" s="401"/>
      <c r="H676" s="401"/>
      <c r="I676" s="401"/>
      <c r="J676" s="401"/>
      <c r="K676" s="401"/>
      <c r="L676" s="403"/>
    </row>
    <row r="677" spans="2:14" s="97" customFormat="1" ht="12" customHeight="1" x14ac:dyDescent="0.2"/>
    <row r="678" spans="2:14" s="4" customFormat="1" ht="18" customHeight="1" x14ac:dyDescent="0.2">
      <c r="B678" s="107" t="s">
        <v>1005</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6" t="s">
        <v>1386</v>
      </c>
      <c r="D682" s="467"/>
      <c r="E682" s="468"/>
      <c r="F682" s="112" t="s">
        <v>38</v>
      </c>
      <c r="G682" s="112" t="s">
        <v>121</v>
      </c>
      <c r="H682" s="112" t="s">
        <v>122</v>
      </c>
      <c r="I682" s="112" t="s">
        <v>123</v>
      </c>
      <c r="J682" s="112" t="s">
        <v>124</v>
      </c>
      <c r="K682" s="112" t="s">
        <v>39</v>
      </c>
      <c r="L682" s="102"/>
      <c r="N682" s="443" t="str">
        <f>IF(COUNTIF(errors_results,TRUE)&gt;0,"List of Errors/Zoznam chýb","")</f>
        <v>List of Errors/Zoznam chýb</v>
      </c>
    </row>
    <row r="683" spans="2:14" s="78" customFormat="1" ht="24" customHeight="1" x14ac:dyDescent="0.2">
      <c r="B683" s="113" t="s">
        <v>116</v>
      </c>
      <c r="C683" s="469" t="s">
        <v>1441</v>
      </c>
      <c r="D683" s="470"/>
      <c r="E683" s="471"/>
      <c r="F683" s="232">
        <f>SUMIF(Implemented_By_Column,F682,Amount_Column)</f>
        <v>0</v>
      </c>
      <c r="G683" s="232">
        <f>SUMIF(Implemented_By_Column,G682,Amount_Column)</f>
        <v>0</v>
      </c>
      <c r="H683" s="232">
        <f>SUMIF(Implemented_By_Column,H682,Amount_Column)</f>
        <v>0</v>
      </c>
      <c r="I683" s="232">
        <f>SUMIF(Implemented_By_Column,I682,Amount_Column)</f>
        <v>0</v>
      </c>
      <c r="J683" s="446">
        <f>SUMIF(Implemented_By_Column,J682,Amount_Column)</f>
        <v>0</v>
      </c>
      <c r="K683" s="232">
        <f>SUM(F683:J683)</f>
        <v>0</v>
      </c>
      <c r="L683" s="102"/>
      <c r="N683" s="444" t="str">
        <f t="array" ref="N683">IFERROR(INDEX(errors_english_desc&amp;". / " &amp; errors_slovak_desc,SMALL(IF(errors_results=TRUE,ROW(errors_english_desc)-ROW($A$1)),ROWS($A$1:A1))),"")</f>
        <v/>
      </c>
    </row>
    <row r="684" spans="2:14" s="78" customFormat="1" ht="24" customHeight="1" x14ac:dyDescent="0.2">
      <c r="B684" s="113" t="s">
        <v>117</v>
      </c>
      <c r="C684" s="469" t="s">
        <v>928</v>
      </c>
      <c r="D684" s="470"/>
      <c r="E684" s="471"/>
      <c r="F684" s="343"/>
      <c r="G684" s="343"/>
      <c r="H684" s="343"/>
      <c r="I684" s="343"/>
      <c r="J684" s="453"/>
      <c r="K684" s="232">
        <f t="shared" ref="K684:K692" si="1">SUM(F684:J684)</f>
        <v>0</v>
      </c>
      <c r="L684" s="102"/>
      <c r="N684" s="444" t="str">
        <f t="array" ref="N684">IFERROR(INDEX(errors_english_desc&amp;". / " &amp; errors_slovak_desc,SMALL(IF(errors_results=TRUE,ROW(errors_english_desc)-ROW($A$1)),ROWS($A$1:A2))),"")</f>
        <v/>
      </c>
    </row>
    <row r="685" spans="2:14" s="78" customFormat="1" ht="24" customHeight="1" x14ac:dyDescent="0.2">
      <c r="B685" s="113"/>
      <c r="C685" s="469" t="s">
        <v>1084</v>
      </c>
      <c r="D685" s="470"/>
      <c r="E685" s="471"/>
      <c r="F685" s="342"/>
      <c r="G685" s="342"/>
      <c r="H685" s="342"/>
      <c r="I685" s="342"/>
      <c r="J685" s="454"/>
      <c r="K685" s="232"/>
      <c r="L685" s="102"/>
      <c r="N685" s="444" t="str">
        <f t="array" ref="N685">IFERROR(INDEX(errors_english_desc&amp;". / " &amp; errors_slovak_desc,SMALL(IF(errors_results=TRUE,ROW(errors_english_desc)-ROW($A$1)),ROWS($A$1:A3))),"")</f>
        <v/>
      </c>
    </row>
    <row r="686" spans="2:14" s="78" customFormat="1" ht="24" customHeight="1" x14ac:dyDescent="0.2">
      <c r="B686" s="113" t="s">
        <v>118</v>
      </c>
      <c r="C686" s="469" t="s">
        <v>929</v>
      </c>
      <c r="D686" s="470"/>
      <c r="E686" s="471"/>
      <c r="F686" s="343"/>
      <c r="G686" s="343"/>
      <c r="H686" s="343"/>
      <c r="I686" s="343"/>
      <c r="J686" s="453"/>
      <c r="K686" s="232">
        <f t="shared" si="1"/>
        <v>0</v>
      </c>
      <c r="L686" s="102"/>
      <c r="N686" s="444" t="str">
        <f t="array" ref="N686">IFERROR(INDEX(errors_english_desc&amp;". / " &amp; errors_slovak_desc,SMALL(IF(errors_results=TRUE,ROW(errors_english_desc)-ROW($A$1)),ROWS($A$1:A4))),"")</f>
        <v/>
      </c>
    </row>
    <row r="687" spans="2:14" s="78" customFormat="1" ht="24" customHeight="1" x14ac:dyDescent="0.2">
      <c r="B687" s="113" t="s">
        <v>119</v>
      </c>
      <c r="C687" s="469" t="s">
        <v>927</v>
      </c>
      <c r="D687" s="470"/>
      <c r="E687" s="471"/>
      <c r="F687" s="452"/>
      <c r="G687" s="452"/>
      <c r="H687" s="452"/>
      <c r="I687" s="452"/>
      <c r="J687" s="453"/>
      <c r="K687" s="232">
        <f t="shared" si="1"/>
        <v>0</v>
      </c>
      <c r="L687" s="102"/>
      <c r="N687" s="444" t="str">
        <f t="array" ref="N687">IFERROR(INDEX(errors_english_desc&amp;". / " &amp; errors_slovak_desc,SMALL(IF(errors_results=TRUE,ROW(errors_english_desc)-ROW($A$1)),ROWS($A$1:A5))),"")</f>
        <v/>
      </c>
    </row>
    <row r="688" spans="2:14" s="78" customFormat="1" ht="24" customHeight="1" x14ac:dyDescent="0.2">
      <c r="B688" s="113" t="s">
        <v>120</v>
      </c>
      <c r="C688" s="469" t="s">
        <v>930</v>
      </c>
      <c r="D688" s="470"/>
      <c r="E688" s="471"/>
      <c r="F688" s="343"/>
      <c r="G688" s="343"/>
      <c r="H688" s="343"/>
      <c r="I688" s="343"/>
      <c r="J688" s="453"/>
      <c r="K688" s="232">
        <f t="shared" si="1"/>
        <v>0</v>
      </c>
      <c r="L688" s="102"/>
      <c r="N688" s="444" t="str">
        <f t="array" ref="N688">IFERROR(INDEX(errors_english_desc&amp;". / " &amp; errors_slovak_desc,SMALL(IF(errors_results=TRUE,ROW(errors_english_desc)-ROW($A$1)),ROWS($A$1:A6))),"")</f>
        <v/>
      </c>
    </row>
    <row r="689" spans="2:17" s="78" customFormat="1" ht="24" customHeight="1" x14ac:dyDescent="0.2">
      <c r="B689" s="113" t="s">
        <v>0</v>
      </c>
      <c r="C689" s="469" t="s">
        <v>1351</v>
      </c>
      <c r="D689" s="470"/>
      <c r="E689" s="471"/>
      <c r="F689" s="343"/>
      <c r="G689" s="343"/>
      <c r="H689" s="343"/>
      <c r="I689" s="343"/>
      <c r="J689" s="453"/>
      <c r="K689" s="232">
        <f>SUM(F689:J689)</f>
        <v>0</v>
      </c>
      <c r="L689" s="102"/>
      <c r="N689" s="444" t="str">
        <f t="array" ref="N689">IFERROR(INDEX(errors_english_desc&amp;". / " &amp; errors_slovak_desc,SMALL(IF(errors_results=TRUE,ROW(errors_english_desc)-ROW($A$1)),ROWS($A$1:A7))),"")</f>
        <v/>
      </c>
      <c r="O689" s="414"/>
      <c r="P689" s="413"/>
    </row>
    <row r="690" spans="2:17" s="78" customFormat="1" ht="24" customHeight="1" x14ac:dyDescent="0.2">
      <c r="B690" s="113" t="s">
        <v>1</v>
      </c>
      <c r="C690" s="469" t="s">
        <v>40</v>
      </c>
      <c r="D690" s="470"/>
      <c r="E690" s="471"/>
      <c r="F690" s="232">
        <f>F692-F688-F687</f>
        <v>0</v>
      </c>
      <c r="G690" s="232">
        <f>G692-G688-G687</f>
        <v>0</v>
      </c>
      <c r="H690" s="232">
        <f>H692-H688-H687</f>
        <v>0</v>
      </c>
      <c r="I690" s="232">
        <f>I692-I688-I687</f>
        <v>0</v>
      </c>
      <c r="J690" s="446">
        <f>J692-J688-J687</f>
        <v>0</v>
      </c>
      <c r="K690" s="232">
        <f t="shared" si="1"/>
        <v>0</v>
      </c>
      <c r="L690" s="102"/>
      <c r="N690" s="444" t="str">
        <f t="array" ref="N690">IFERROR(INDEX(errors_english_desc&amp;". / " &amp; errors_slovak_desc,SMALL(IF(errors_results=TRUE,ROW(errors_english_desc)-ROW($A$1)),ROWS($A$1:A8))),"")</f>
        <v/>
      </c>
      <c r="Q690" s="414"/>
    </row>
    <row r="691" spans="2:17" s="78" customFormat="1" ht="24" customHeight="1" x14ac:dyDescent="0.2">
      <c r="B691" s="113" t="s">
        <v>2</v>
      </c>
      <c r="C691" s="469" t="s">
        <v>1407</v>
      </c>
      <c r="D691" s="470"/>
      <c r="E691" s="471"/>
      <c r="F691" s="232">
        <f>SUM(F683:F686)</f>
        <v>0</v>
      </c>
      <c r="G691" s="232">
        <f>SUM(G683:G686)</f>
        <v>0</v>
      </c>
      <c r="H691" s="232">
        <f>SUM(H683:H686)</f>
        <v>0</v>
      </c>
      <c r="I691" s="232">
        <f>SUM(I683:I686)</f>
        <v>0</v>
      </c>
      <c r="J691" s="446">
        <f>SUM(J683:J686)</f>
        <v>0</v>
      </c>
      <c r="K691" s="232">
        <f>SUM(F691:J691)</f>
        <v>0</v>
      </c>
      <c r="L691" s="102"/>
      <c r="N691" s="444" t="str">
        <f t="array" ref="N691">IFERROR(INDEX(errors_english_desc&amp;". / " &amp; errors_slovak_desc,SMALL(IF(errors_results=TRUE,ROW(errors_english_desc)-ROW($A$1)),ROWS($A$1:A9))),"")</f>
        <v/>
      </c>
    </row>
    <row r="692" spans="2:17" s="78" customFormat="1" ht="24" customHeight="1" x14ac:dyDescent="0.2">
      <c r="B692" s="113" t="s">
        <v>934</v>
      </c>
      <c r="C692" s="469" t="s">
        <v>933</v>
      </c>
      <c r="D692" s="470"/>
      <c r="E692" s="471"/>
      <c r="F692" s="232">
        <f>F691+F687</f>
        <v>0</v>
      </c>
      <c r="G692" s="232">
        <f>G691+G687</f>
        <v>0</v>
      </c>
      <c r="H692" s="232">
        <f>H691+H687</f>
        <v>0</v>
      </c>
      <c r="I692" s="232">
        <f>I691+I687</f>
        <v>0</v>
      </c>
      <c r="J692" s="446">
        <f>J691+J687</f>
        <v>0</v>
      </c>
      <c r="K692" s="232">
        <f t="shared" si="1"/>
        <v>0</v>
      </c>
      <c r="L692" s="102"/>
      <c r="N692" s="444" t="str">
        <f t="array" ref="N692">IFERROR(INDEX(errors_english_desc&amp;". / " &amp; errors_slovak_desc,SMALL(IF(errors_results=TRUE,ROW(errors_english_desc)-ROW($A$1)),ROWS($A$1:A10))),"")</f>
        <v/>
      </c>
    </row>
    <row r="693" spans="2:17" s="78" customFormat="1" ht="24" customHeight="1" x14ac:dyDescent="0.2">
      <c r="B693" s="201" t="s">
        <v>935</v>
      </c>
      <c r="C693" s="249"/>
      <c r="D693" s="243"/>
      <c r="E693" s="243"/>
      <c r="F693" s="243"/>
      <c r="G693" s="201"/>
      <c r="H693" s="243"/>
      <c r="I693" s="243"/>
      <c r="J693" s="250" t="s">
        <v>931</v>
      </c>
      <c r="K693" s="233" t="e">
        <f>F684/SUMIF(Type_Of_Expenditures_Column,Lists!R2,Amount_Column)</f>
        <v>#DIV/0!</v>
      </c>
      <c r="L693" s="102"/>
      <c r="N693" s="114"/>
    </row>
    <row r="694" spans="2:17" s="78" customFormat="1" ht="24" customHeight="1" x14ac:dyDescent="0.2">
      <c r="B694" s="201" t="s">
        <v>936</v>
      </c>
      <c r="C694" s="249"/>
      <c r="D694" s="243"/>
      <c r="E694" s="243"/>
      <c r="F694" s="243"/>
      <c r="G694" s="201"/>
      <c r="H694" s="243"/>
      <c r="I694" s="243"/>
      <c r="J694" s="250" t="s">
        <v>932</v>
      </c>
      <c r="K694" s="233" t="e">
        <f>ROUND(K690/K692,4)</f>
        <v>#DIV/0!</v>
      </c>
      <c r="L694" s="102"/>
      <c r="N694" s="114"/>
    </row>
    <row r="695" spans="2:17" s="78" customFormat="1" ht="24" customHeight="1" x14ac:dyDescent="0.2">
      <c r="B695" s="201" t="s">
        <v>937</v>
      </c>
      <c r="C695" s="249"/>
      <c r="D695" s="243"/>
      <c r="E695" s="243"/>
      <c r="F695" s="243"/>
      <c r="G695" s="201"/>
      <c r="H695" s="243"/>
      <c r="I695" s="243"/>
      <c r="J695" s="250" t="s">
        <v>939</v>
      </c>
      <c r="K695" s="251">
        <f>IF(ISERROR(VLOOKUP(sector_specified,grant_rates_table,2,FALSE)),0.8,(VLOOKUP(sector_specified,grant_rates_table,2,FALSE)))</f>
        <v>0.8</v>
      </c>
      <c r="L695" s="102"/>
      <c r="N695" s="413"/>
      <c r="O695" s="252"/>
    </row>
    <row r="696" spans="2:17" s="78" customFormat="1" ht="24" customHeight="1" x14ac:dyDescent="0.2">
      <c r="B696" s="201" t="s">
        <v>938</v>
      </c>
      <c r="C696" s="249"/>
      <c r="D696" s="243"/>
      <c r="E696" s="243"/>
      <c r="F696" s="243"/>
      <c r="G696" s="201"/>
      <c r="H696" s="243"/>
      <c r="I696" s="344"/>
      <c r="J696" s="250" t="s">
        <v>1088</v>
      </c>
      <c r="K696" s="232">
        <f>VLOOKUP(call_code,grants_requested_table,2,FALSE)</f>
        <v>200000</v>
      </c>
      <c r="L696" s="102"/>
      <c r="N696" s="444"/>
      <c r="O696" s="252"/>
    </row>
    <row r="697" spans="2:17" s="78" customFormat="1" ht="24" customHeight="1" x14ac:dyDescent="0.2">
      <c r="B697" s="201" t="s">
        <v>948</v>
      </c>
      <c r="C697" s="249"/>
      <c r="D697" s="243"/>
      <c r="E697" s="243"/>
      <c r="F697" s="243"/>
      <c r="G697" s="201"/>
      <c r="H697" s="243"/>
      <c r="I697" s="243"/>
      <c r="J697" s="250" t="s">
        <v>1352</v>
      </c>
      <c r="K697" s="232">
        <f>VLOOKUP(call_code,grants_requested_table,3,FALSE)</f>
        <v>1000000</v>
      </c>
      <c r="L697" s="102"/>
      <c r="N697" s="248"/>
      <c r="O697" s="252"/>
    </row>
    <row r="698" spans="2:17" s="78" customFormat="1" ht="24" customHeight="1" x14ac:dyDescent="0.2">
      <c r="B698" s="201" t="s">
        <v>1089</v>
      </c>
      <c r="C698" s="249"/>
      <c r="D698" s="243"/>
      <c r="E698" s="243"/>
      <c r="F698" s="243"/>
      <c r="G698" s="201"/>
      <c r="H698" s="243"/>
      <c r="I698" s="243"/>
      <c r="J698" s="250" t="s">
        <v>1103</v>
      </c>
      <c r="K698" s="232">
        <f>ROUND(total_eligible_expenditure_total*0.05,0)</f>
        <v>0</v>
      </c>
      <c r="L698" s="102"/>
      <c r="N698" s="248"/>
      <c r="O698" s="252"/>
    </row>
    <row r="699" spans="2:17" s="78" customFormat="1" ht="24" customHeight="1" x14ac:dyDescent="0.2">
      <c r="B699" s="201" t="s">
        <v>1090</v>
      </c>
      <c r="C699" s="249"/>
      <c r="D699" s="243"/>
      <c r="E699" s="243"/>
      <c r="F699" s="243"/>
      <c r="G699" s="201"/>
      <c r="H699" s="243"/>
      <c r="I699" s="243"/>
      <c r="J699" s="415" t="s">
        <v>1361</v>
      </c>
      <c r="K699" s="445">
        <f>IF(AND(sector=nonprofit_sector_verification_title,sector_specified&lt;&gt;churches_verification_title),in_kind_call_limit,0)</f>
        <v>0</v>
      </c>
      <c r="L699" s="102"/>
      <c r="N699" s="248"/>
      <c r="O699" s="252"/>
    </row>
    <row r="700" spans="2:17" s="78" customFormat="1" ht="24" customHeight="1" x14ac:dyDescent="0.2">
      <c r="B700" s="201" t="s">
        <v>1102</v>
      </c>
      <c r="C700" s="249"/>
      <c r="D700" s="243"/>
      <c r="E700" s="243"/>
      <c r="F700" s="243"/>
      <c r="G700" s="201"/>
      <c r="H700" s="243"/>
      <c r="I700" s="243"/>
      <c r="J700" s="415" t="s">
        <v>1402</v>
      </c>
      <c r="K700" s="446">
        <f>ROUND((2*total_eligible_cash_expenditure_total*(1-maximum_grant_rate))/(1+maximum_grant_rate)*maximum_in_kind_percentage,0)</f>
        <v>0</v>
      </c>
      <c r="L700" s="102"/>
      <c r="N700" s="248"/>
      <c r="O700" s="252"/>
    </row>
    <row r="701" spans="2:17" s="78" customFormat="1" ht="24" customHeight="1" x14ac:dyDescent="0.2">
      <c r="B701" s="201" t="s">
        <v>1403</v>
      </c>
      <c r="C701" s="249"/>
      <c r="D701" s="243"/>
      <c r="E701" s="243"/>
      <c r="F701" s="243"/>
      <c r="G701" s="201"/>
      <c r="H701" s="243"/>
      <c r="I701" s="243"/>
      <c r="J701" s="415" t="s">
        <v>1362</v>
      </c>
      <c r="K701" s="445">
        <f>IFERROR(in_kind_total/(in_kind_total+cash_cofinancing_total),0)</f>
        <v>0</v>
      </c>
      <c r="L701" s="102"/>
      <c r="N701" s="248"/>
      <c r="O701" s="252"/>
    </row>
    <row r="702" spans="2:17" s="78" customFormat="1" ht="24" customHeight="1" x14ac:dyDescent="0.2">
      <c r="B702" s="201" t="s">
        <v>1404</v>
      </c>
      <c r="C702" s="249"/>
      <c r="D702" s="243"/>
      <c r="E702" s="243"/>
      <c r="F702" s="243"/>
      <c r="G702" s="201"/>
      <c r="H702" s="243"/>
      <c r="I702" s="243"/>
      <c r="J702" s="250" t="s">
        <v>1091</v>
      </c>
      <c r="K702" s="232">
        <f>ROUND(K690*0.85,0)</f>
        <v>0</v>
      </c>
      <c r="L702" s="102"/>
      <c r="N702" s="115"/>
    </row>
    <row r="703" spans="2:17" s="78" customFormat="1" ht="24" customHeight="1" x14ac:dyDescent="0.2">
      <c r="B703" s="201" t="s">
        <v>1405</v>
      </c>
      <c r="C703" s="249"/>
      <c r="D703" s="243"/>
      <c r="E703" s="243"/>
      <c r="F703" s="243"/>
      <c r="G703" s="201"/>
      <c r="H703" s="243"/>
      <c r="I703" s="243"/>
      <c r="J703" s="250" t="s">
        <v>513</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1006</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7" t="s">
        <v>1408</v>
      </c>
      <c r="C708" s="416" t="s">
        <v>1363</v>
      </c>
      <c r="D708" s="417"/>
      <c r="E708" s="417"/>
      <c r="F708" s="417"/>
      <c r="G708" s="417"/>
      <c r="H708" s="417"/>
      <c r="J708" s="678"/>
      <c r="K708" s="679"/>
    </row>
    <row r="709" spans="2:14" customFormat="1" ht="24" customHeight="1" x14ac:dyDescent="0.2">
      <c r="C709" s="404"/>
    </row>
    <row r="710" spans="2:14" s="78" customFormat="1" ht="47.25" customHeight="1" x14ac:dyDescent="0.2">
      <c r="B710" s="680" t="s">
        <v>1410</v>
      </c>
      <c r="C710" s="505" t="s">
        <v>1409</v>
      </c>
      <c r="D710" s="506"/>
      <c r="E710" s="506"/>
      <c r="F710" s="507"/>
      <c r="G710" s="455" t="s">
        <v>1010</v>
      </c>
      <c r="H710" s="455" t="s">
        <v>1011</v>
      </c>
      <c r="I710" s="455" t="s">
        <v>1008</v>
      </c>
      <c r="J710" s="457" t="s">
        <v>1369</v>
      </c>
      <c r="K710" s="458"/>
      <c r="L710" s="459"/>
      <c r="N710" s="115"/>
    </row>
    <row r="711" spans="2:14" s="78" customFormat="1" ht="33" customHeight="1" x14ac:dyDescent="0.2">
      <c r="B711" s="681"/>
      <c r="C711" s="508"/>
      <c r="D711" s="509"/>
      <c r="E711" s="509"/>
      <c r="F711" s="510"/>
      <c r="G711" s="456"/>
      <c r="H711" s="456"/>
      <c r="I711" s="456"/>
      <c r="J711" s="418" t="s">
        <v>1365</v>
      </c>
      <c r="K711" s="419" t="s">
        <v>1366</v>
      </c>
      <c r="L711" s="419" t="s">
        <v>1370</v>
      </c>
      <c r="N711" s="115"/>
    </row>
    <row r="712" spans="2:14" s="78" customFormat="1" ht="24" customHeight="1" x14ac:dyDescent="0.2">
      <c r="B712" s="276">
        <v>1</v>
      </c>
      <c r="C712" s="671"/>
      <c r="D712" s="672"/>
      <c r="E712" s="672"/>
      <c r="F712" s="673"/>
      <c r="G712" s="422"/>
      <c r="H712" s="388"/>
      <c r="I712" s="388"/>
      <c r="J712" s="388"/>
      <c r="K712" s="421"/>
      <c r="L712" s="420" t="str">
        <f>duration_calculation</f>
        <v/>
      </c>
      <c r="N712" s="115"/>
    </row>
    <row r="713" spans="2:14" s="78" customFormat="1" ht="24" customHeight="1" x14ac:dyDescent="0.2">
      <c r="B713" s="276">
        <v>2</v>
      </c>
      <c r="C713" s="671"/>
      <c r="D713" s="672"/>
      <c r="E713" s="672"/>
      <c r="F713" s="673"/>
      <c r="G713" s="422"/>
      <c r="H713" s="388"/>
      <c r="I713" s="388"/>
      <c r="J713" s="388"/>
      <c r="K713" s="421"/>
      <c r="L713" s="420" t="str">
        <f>duration_calculation</f>
        <v/>
      </c>
      <c r="N713" s="115"/>
    </row>
    <row r="714" spans="2:14" s="78" customFormat="1" ht="24" customHeight="1" x14ac:dyDescent="0.2">
      <c r="B714" s="276">
        <v>3</v>
      </c>
      <c r="C714" s="671"/>
      <c r="D714" s="672"/>
      <c r="E714" s="672"/>
      <c r="F714" s="673"/>
      <c r="G714" s="422"/>
      <c r="H714" s="388"/>
      <c r="I714" s="388"/>
      <c r="J714" s="388"/>
      <c r="K714" s="421"/>
      <c r="L714" s="420" t="str">
        <f>duration_calculation</f>
        <v/>
      </c>
      <c r="N714" s="115"/>
    </row>
    <row r="715" spans="2:14" s="78" customFormat="1" ht="24" customHeight="1" x14ac:dyDescent="0.2">
      <c r="B715" s="276">
        <v>4</v>
      </c>
      <c r="C715" s="671"/>
      <c r="D715" s="672"/>
      <c r="E715" s="672"/>
      <c r="F715" s="673"/>
      <c r="G715" s="422"/>
      <c r="H715" s="388"/>
      <c r="I715" s="388"/>
      <c r="J715" s="388"/>
      <c r="K715" s="421"/>
      <c r="L715" s="420" t="str">
        <f>duration_calculation</f>
        <v/>
      </c>
      <c r="N715" s="115"/>
    </row>
    <row r="716" spans="2:14" s="78" customFormat="1" ht="24" customHeight="1" x14ac:dyDescent="0.2">
      <c r="B716" s="276">
        <v>5</v>
      </c>
      <c r="C716" s="671"/>
      <c r="D716" s="672"/>
      <c r="E716" s="672"/>
      <c r="F716" s="673"/>
      <c r="G716" s="422"/>
      <c r="H716" s="388"/>
      <c r="I716" s="388"/>
      <c r="J716" s="388"/>
      <c r="K716" s="421"/>
      <c r="L716" s="420" t="str">
        <f>duration_calculation</f>
        <v/>
      </c>
      <c r="N716" s="115"/>
    </row>
    <row r="717" spans="2:14" s="78" customFormat="1" ht="24" customHeight="1" x14ac:dyDescent="0.2">
      <c r="B717" s="276">
        <v>6</v>
      </c>
      <c r="C717" s="671"/>
      <c r="D717" s="672"/>
      <c r="E717" s="672"/>
      <c r="F717" s="673"/>
      <c r="G717" s="422"/>
      <c r="H717" s="388"/>
      <c r="I717" s="388"/>
      <c r="J717" s="388"/>
      <c r="K717" s="421"/>
      <c r="L717" s="420" t="str">
        <f>duration_calculation</f>
        <v/>
      </c>
      <c r="N717" s="115"/>
    </row>
    <row r="718" spans="2:14" s="78" customFormat="1" ht="24" customHeight="1" x14ac:dyDescent="0.2">
      <c r="B718" s="276">
        <v>7</v>
      </c>
      <c r="C718" s="671"/>
      <c r="D718" s="672"/>
      <c r="E718" s="672"/>
      <c r="F718" s="673"/>
      <c r="G718" s="422"/>
      <c r="H718" s="388"/>
      <c r="I718" s="388"/>
      <c r="J718" s="388"/>
      <c r="K718" s="421"/>
      <c r="L718" s="420" t="str">
        <f>duration_calculation</f>
        <v/>
      </c>
      <c r="N718" s="115"/>
    </row>
    <row r="719" spans="2:14" s="78" customFormat="1" ht="24" customHeight="1" x14ac:dyDescent="0.2">
      <c r="B719" s="276">
        <v>8</v>
      </c>
      <c r="C719" s="671"/>
      <c r="D719" s="672"/>
      <c r="E719" s="672"/>
      <c r="F719" s="673"/>
      <c r="G719" s="422"/>
      <c r="H719" s="388"/>
      <c r="I719" s="388"/>
      <c r="J719" s="388"/>
      <c r="K719" s="421"/>
      <c r="L719" s="420" t="str">
        <f>duration_calculation</f>
        <v/>
      </c>
      <c r="N719" s="115"/>
    </row>
    <row r="720" spans="2:14" s="78" customFormat="1" ht="24" customHeight="1" x14ac:dyDescent="0.2">
      <c r="B720" s="276">
        <v>9</v>
      </c>
      <c r="C720" s="671"/>
      <c r="D720" s="672"/>
      <c r="E720" s="672"/>
      <c r="F720" s="673"/>
      <c r="G720" s="422"/>
      <c r="H720" s="388"/>
      <c r="I720" s="388"/>
      <c r="J720" s="388"/>
      <c r="K720" s="421"/>
      <c r="L720" s="420" t="str">
        <f>duration_calculation</f>
        <v/>
      </c>
      <c r="N720" s="115"/>
    </row>
    <row r="721" spans="2:14" s="78" customFormat="1" ht="24" customHeight="1" x14ac:dyDescent="0.2">
      <c r="B721" s="276">
        <v>10</v>
      </c>
      <c r="C721" s="671"/>
      <c r="D721" s="672"/>
      <c r="E721" s="672"/>
      <c r="F721" s="673"/>
      <c r="G721" s="422"/>
      <c r="H721" s="388"/>
      <c r="I721" s="388"/>
      <c r="J721" s="388"/>
      <c r="K721" s="421"/>
      <c r="L721" s="420" t="str">
        <f>duration_calculation</f>
        <v/>
      </c>
      <c r="N721" s="115"/>
    </row>
    <row r="722" spans="2:14" s="78" customFormat="1" ht="24" customHeight="1" x14ac:dyDescent="0.2">
      <c r="B722" s="276">
        <v>11</v>
      </c>
      <c r="C722" s="671"/>
      <c r="D722" s="672"/>
      <c r="E722" s="672"/>
      <c r="F722" s="673"/>
      <c r="G722" s="422"/>
      <c r="H722" s="388"/>
      <c r="I722" s="388"/>
      <c r="J722" s="388"/>
      <c r="K722" s="421"/>
      <c r="L722" s="420" t="str">
        <f>duration_calculation</f>
        <v/>
      </c>
      <c r="N722" s="115"/>
    </row>
    <row r="723" spans="2:14" s="78" customFormat="1" ht="24" customHeight="1" x14ac:dyDescent="0.2">
      <c r="B723" s="276">
        <v>12</v>
      </c>
      <c r="C723" s="671"/>
      <c r="D723" s="672"/>
      <c r="E723" s="672"/>
      <c r="F723" s="673"/>
      <c r="G723" s="422"/>
      <c r="H723" s="388"/>
      <c r="I723" s="388"/>
      <c r="J723" s="388"/>
      <c r="K723" s="421"/>
      <c r="L723" s="420" t="str">
        <f>duration_calculation</f>
        <v/>
      </c>
      <c r="N723" s="115"/>
    </row>
    <row r="724" spans="2:14" s="78" customFormat="1" ht="24" customHeight="1" x14ac:dyDescent="0.2">
      <c r="B724" s="276">
        <v>13</v>
      </c>
      <c r="C724" s="671"/>
      <c r="D724" s="672"/>
      <c r="E724" s="672"/>
      <c r="F724" s="673"/>
      <c r="G724" s="422"/>
      <c r="H724" s="388"/>
      <c r="I724" s="388"/>
      <c r="J724" s="388"/>
      <c r="K724" s="421"/>
      <c r="L724" s="420" t="str">
        <f>duration_calculation</f>
        <v/>
      </c>
      <c r="N724" s="115"/>
    </row>
    <row r="725" spans="2:14" s="78" customFormat="1" ht="24" customHeight="1" x14ac:dyDescent="0.2">
      <c r="B725" s="276">
        <v>14</v>
      </c>
      <c r="C725" s="671"/>
      <c r="D725" s="672"/>
      <c r="E725" s="672"/>
      <c r="F725" s="673"/>
      <c r="G725" s="422"/>
      <c r="H725" s="388"/>
      <c r="I725" s="388"/>
      <c r="J725" s="388"/>
      <c r="K725" s="421"/>
      <c r="L725" s="420" t="str">
        <f>duration_calculation</f>
        <v/>
      </c>
      <c r="N725" s="115"/>
    </row>
    <row r="726" spans="2:14" s="78" customFormat="1" ht="24" customHeight="1" x14ac:dyDescent="0.2">
      <c r="B726" s="276">
        <v>15</v>
      </c>
      <c r="C726" s="671"/>
      <c r="D726" s="672"/>
      <c r="E726" s="672"/>
      <c r="F726" s="673"/>
      <c r="G726" s="422"/>
      <c r="H726" s="388"/>
      <c r="I726" s="388"/>
      <c r="J726" s="388"/>
      <c r="K726" s="421"/>
      <c r="L726" s="420" t="str">
        <f>duration_calculation</f>
        <v/>
      </c>
      <c r="N726" s="115"/>
    </row>
    <row r="727" spans="2:14" s="78" customFormat="1" ht="24" customHeight="1" x14ac:dyDescent="0.2">
      <c r="B727" s="276">
        <v>16</v>
      </c>
      <c r="C727" s="671"/>
      <c r="D727" s="672"/>
      <c r="E727" s="672"/>
      <c r="F727" s="673"/>
      <c r="G727" s="422"/>
      <c r="H727" s="388"/>
      <c r="I727" s="388"/>
      <c r="J727" s="388"/>
      <c r="K727" s="421"/>
      <c r="L727" s="420" t="str">
        <f>duration_calculation</f>
        <v/>
      </c>
      <c r="N727" s="115"/>
    </row>
    <row r="728" spans="2:14" s="78" customFormat="1" ht="24" customHeight="1" x14ac:dyDescent="0.2">
      <c r="B728" s="276">
        <v>17</v>
      </c>
      <c r="C728" s="671"/>
      <c r="D728" s="672"/>
      <c r="E728" s="672"/>
      <c r="F728" s="673"/>
      <c r="G728" s="422"/>
      <c r="H728" s="388"/>
      <c r="I728" s="388"/>
      <c r="J728" s="388"/>
      <c r="K728" s="421"/>
      <c r="L728" s="420" t="str">
        <f>duration_calculation</f>
        <v/>
      </c>
      <c r="N728" s="115"/>
    </row>
    <row r="729" spans="2:14" s="78" customFormat="1" ht="24" customHeight="1" x14ac:dyDescent="0.2">
      <c r="B729" s="276">
        <v>18</v>
      </c>
      <c r="C729" s="671"/>
      <c r="D729" s="672"/>
      <c r="E729" s="672"/>
      <c r="F729" s="673"/>
      <c r="G729" s="422"/>
      <c r="H729" s="388"/>
      <c r="I729" s="388"/>
      <c r="J729" s="388"/>
      <c r="K729" s="421"/>
      <c r="L729" s="420" t="str">
        <f>duration_calculation</f>
        <v/>
      </c>
      <c r="N729" s="115"/>
    </row>
    <row r="730" spans="2:14" s="78" customFormat="1" ht="24" customHeight="1" x14ac:dyDescent="0.2">
      <c r="B730" s="276">
        <v>19</v>
      </c>
      <c r="C730" s="671"/>
      <c r="D730" s="672"/>
      <c r="E730" s="672"/>
      <c r="F730" s="673"/>
      <c r="G730" s="422"/>
      <c r="H730" s="388"/>
      <c r="I730" s="388"/>
      <c r="J730" s="388"/>
      <c r="K730" s="421"/>
      <c r="L730" s="420" t="str">
        <f>duration_calculation</f>
        <v/>
      </c>
      <c r="N730" s="115"/>
    </row>
    <row r="731" spans="2:14" s="78" customFormat="1" ht="24" customHeight="1" x14ac:dyDescent="0.2">
      <c r="B731" s="276">
        <v>20</v>
      </c>
      <c r="C731" s="671"/>
      <c r="D731" s="672"/>
      <c r="E731" s="672"/>
      <c r="F731" s="673"/>
      <c r="G731" s="422"/>
      <c r="H731" s="388"/>
      <c r="I731" s="388"/>
      <c r="J731" s="388"/>
      <c r="K731" s="421"/>
      <c r="L731" s="420" t="str">
        <f>duration_calculation</f>
        <v/>
      </c>
      <c r="N731" s="115"/>
    </row>
    <row r="732" spans="2:14" s="78" customFormat="1" ht="24" customHeight="1" x14ac:dyDescent="0.2">
      <c r="B732" s="276">
        <v>21</v>
      </c>
      <c r="C732" s="671"/>
      <c r="D732" s="672"/>
      <c r="E732" s="672"/>
      <c r="F732" s="673"/>
      <c r="G732" s="422"/>
      <c r="H732" s="388"/>
      <c r="I732" s="388"/>
      <c r="J732" s="388"/>
      <c r="K732" s="421"/>
      <c r="L732" s="420" t="str">
        <f>duration_calculation</f>
        <v/>
      </c>
      <c r="N732" s="115"/>
    </row>
    <row r="733" spans="2:14" s="78" customFormat="1" ht="24" customHeight="1" x14ac:dyDescent="0.2">
      <c r="B733" s="276">
        <v>22</v>
      </c>
      <c r="C733" s="671"/>
      <c r="D733" s="672"/>
      <c r="E733" s="672"/>
      <c r="F733" s="673"/>
      <c r="G733" s="422"/>
      <c r="H733" s="388"/>
      <c r="I733" s="388"/>
      <c r="J733" s="388"/>
      <c r="K733" s="421"/>
      <c r="L733" s="420" t="str">
        <f>duration_calculation</f>
        <v/>
      </c>
      <c r="N733" s="115"/>
    </row>
    <row r="734" spans="2:14" s="78" customFormat="1" ht="24" customHeight="1" x14ac:dyDescent="0.2">
      <c r="B734" s="276">
        <v>23</v>
      </c>
      <c r="C734" s="671"/>
      <c r="D734" s="672"/>
      <c r="E734" s="672"/>
      <c r="F734" s="673"/>
      <c r="G734" s="422"/>
      <c r="H734" s="388"/>
      <c r="I734" s="388"/>
      <c r="J734" s="388"/>
      <c r="K734" s="421"/>
      <c r="L734" s="420" t="str">
        <f>duration_calculation</f>
        <v/>
      </c>
      <c r="N734" s="115"/>
    </row>
    <row r="735" spans="2:14" s="78" customFormat="1" ht="24" customHeight="1" x14ac:dyDescent="0.2">
      <c r="B735" s="276">
        <v>24</v>
      </c>
      <c r="C735" s="671"/>
      <c r="D735" s="672"/>
      <c r="E735" s="672"/>
      <c r="F735" s="673"/>
      <c r="G735" s="422"/>
      <c r="H735" s="388"/>
      <c r="I735" s="388"/>
      <c r="J735" s="388"/>
      <c r="K735" s="421"/>
      <c r="L735" s="420" t="str">
        <f>duration_calculation</f>
        <v/>
      </c>
      <c r="N735" s="115"/>
    </row>
    <row r="736" spans="2:14" s="78" customFormat="1" ht="24" customHeight="1" x14ac:dyDescent="0.2">
      <c r="B736" s="276">
        <v>25</v>
      </c>
      <c r="C736" s="671"/>
      <c r="D736" s="672"/>
      <c r="E736" s="672"/>
      <c r="F736" s="673"/>
      <c r="G736" s="422"/>
      <c r="H736" s="388"/>
      <c r="I736" s="388"/>
      <c r="J736" s="388"/>
      <c r="K736" s="421"/>
      <c r="L736" s="420" t="str">
        <f>duration_calculation</f>
        <v/>
      </c>
      <c r="N736" s="115"/>
    </row>
    <row r="737" spans="2:14" s="78" customFormat="1" ht="24" customHeight="1" x14ac:dyDescent="0.2">
      <c r="B737" s="276">
        <v>26</v>
      </c>
      <c r="C737" s="671"/>
      <c r="D737" s="672"/>
      <c r="E737" s="672"/>
      <c r="F737" s="673"/>
      <c r="G737" s="422"/>
      <c r="H737" s="388"/>
      <c r="I737" s="388"/>
      <c r="J737" s="388"/>
      <c r="K737" s="421"/>
      <c r="L737" s="420" t="str">
        <f>duration_calculation</f>
        <v/>
      </c>
      <c r="N737" s="115"/>
    </row>
    <row r="738" spans="2:14" s="78" customFormat="1" ht="24" customHeight="1" x14ac:dyDescent="0.2">
      <c r="B738" s="276">
        <v>27</v>
      </c>
      <c r="C738" s="671"/>
      <c r="D738" s="672"/>
      <c r="E738" s="672"/>
      <c r="F738" s="673"/>
      <c r="G738" s="422"/>
      <c r="H738" s="388"/>
      <c r="I738" s="388"/>
      <c r="J738" s="388"/>
      <c r="K738" s="421"/>
      <c r="L738" s="420" t="str">
        <f>duration_calculation</f>
        <v/>
      </c>
      <c r="N738" s="115"/>
    </row>
    <row r="739" spans="2:14" s="78" customFormat="1" ht="24" customHeight="1" x14ac:dyDescent="0.2">
      <c r="B739" s="276">
        <v>28</v>
      </c>
      <c r="C739" s="671"/>
      <c r="D739" s="672"/>
      <c r="E739" s="672"/>
      <c r="F739" s="673"/>
      <c r="G739" s="422"/>
      <c r="H739" s="388"/>
      <c r="I739" s="388"/>
      <c r="J739" s="388"/>
      <c r="K739" s="421"/>
      <c r="L739" s="420" t="str">
        <f>duration_calculation</f>
        <v/>
      </c>
      <c r="N739" s="115"/>
    </row>
    <row r="740" spans="2:14" s="78" customFormat="1" ht="24" customHeight="1" x14ac:dyDescent="0.2">
      <c r="B740" s="276">
        <v>29</v>
      </c>
      <c r="C740" s="671"/>
      <c r="D740" s="672"/>
      <c r="E740" s="672"/>
      <c r="F740" s="673"/>
      <c r="G740" s="422"/>
      <c r="H740" s="388"/>
      <c r="I740" s="388"/>
      <c r="J740" s="388"/>
      <c r="K740" s="421"/>
      <c r="L740" s="420" t="str">
        <f>duration_calculation</f>
        <v/>
      </c>
      <c r="N740" s="115"/>
    </row>
    <row r="741" spans="2:14" s="78" customFormat="1" ht="24" customHeight="1" x14ac:dyDescent="0.2">
      <c r="B741" s="276">
        <v>30</v>
      </c>
      <c r="C741" s="671"/>
      <c r="D741" s="672"/>
      <c r="E741" s="672"/>
      <c r="F741" s="673"/>
      <c r="G741" s="422"/>
      <c r="H741" s="388"/>
      <c r="I741" s="388"/>
      <c r="J741" s="388"/>
      <c r="K741" s="421"/>
      <c r="L741" s="420" t="str">
        <f>duration_calculation</f>
        <v/>
      </c>
      <c r="N741" s="115"/>
    </row>
    <row r="742" spans="2:14" s="78" customFormat="1" ht="24" customHeight="1" x14ac:dyDescent="0.2">
      <c r="B742" s="276">
        <v>31</v>
      </c>
      <c r="C742" s="671"/>
      <c r="D742" s="672"/>
      <c r="E742" s="672"/>
      <c r="F742" s="673"/>
      <c r="G742" s="422"/>
      <c r="H742" s="388"/>
      <c r="I742" s="388"/>
      <c r="J742" s="388"/>
      <c r="K742" s="421"/>
      <c r="L742" s="420" t="str">
        <f>duration_calculation</f>
        <v/>
      </c>
      <c r="N742" s="115"/>
    </row>
    <row r="743" spans="2:14" s="78" customFormat="1" ht="24" customHeight="1" x14ac:dyDescent="0.2">
      <c r="B743" s="276">
        <v>32</v>
      </c>
      <c r="C743" s="671"/>
      <c r="D743" s="672"/>
      <c r="E743" s="672"/>
      <c r="F743" s="673"/>
      <c r="G743" s="422"/>
      <c r="H743" s="388"/>
      <c r="I743" s="388"/>
      <c r="J743" s="388"/>
      <c r="K743" s="421"/>
      <c r="L743" s="420" t="str">
        <f>duration_calculation</f>
        <v/>
      </c>
      <c r="N743" s="115"/>
    </row>
    <row r="744" spans="2:14" s="78" customFormat="1" ht="24" customHeight="1" x14ac:dyDescent="0.2">
      <c r="B744" s="276">
        <v>33</v>
      </c>
      <c r="C744" s="671"/>
      <c r="D744" s="672"/>
      <c r="E744" s="672"/>
      <c r="F744" s="673"/>
      <c r="G744" s="422"/>
      <c r="H744" s="388"/>
      <c r="I744" s="388"/>
      <c r="J744" s="388"/>
      <c r="K744" s="421"/>
      <c r="L744" s="420" t="str">
        <f>duration_calculation</f>
        <v/>
      </c>
      <c r="N744" s="115"/>
    </row>
    <row r="745" spans="2:14" s="78" customFormat="1" ht="24" customHeight="1" x14ac:dyDescent="0.2">
      <c r="B745" s="276">
        <v>34</v>
      </c>
      <c r="C745" s="671"/>
      <c r="D745" s="672"/>
      <c r="E745" s="672"/>
      <c r="F745" s="673"/>
      <c r="G745" s="422"/>
      <c r="H745" s="388"/>
      <c r="I745" s="388"/>
      <c r="J745" s="388"/>
      <c r="K745" s="421"/>
      <c r="L745" s="420" t="str">
        <f>duration_calculation</f>
        <v/>
      </c>
      <c r="N745" s="115"/>
    </row>
    <row r="746" spans="2:14" s="78" customFormat="1" ht="24" customHeight="1" x14ac:dyDescent="0.2">
      <c r="B746" s="276">
        <v>35</v>
      </c>
      <c r="C746" s="671"/>
      <c r="D746" s="672"/>
      <c r="E746" s="672"/>
      <c r="F746" s="673"/>
      <c r="G746" s="422"/>
      <c r="H746" s="388"/>
      <c r="I746" s="388"/>
      <c r="J746" s="388"/>
      <c r="K746" s="421"/>
      <c r="L746" s="420" t="str">
        <f>duration_calculation</f>
        <v/>
      </c>
      <c r="N746" s="115"/>
    </row>
    <row r="747" spans="2:14" s="78" customFormat="1" ht="24" customHeight="1" x14ac:dyDescent="0.2">
      <c r="B747" s="276">
        <v>36</v>
      </c>
      <c r="C747" s="671"/>
      <c r="D747" s="672"/>
      <c r="E747" s="672"/>
      <c r="F747" s="673"/>
      <c r="G747" s="422"/>
      <c r="H747" s="388"/>
      <c r="I747" s="388"/>
      <c r="J747" s="388"/>
      <c r="K747" s="421"/>
      <c r="L747" s="420" t="str">
        <f>duration_calculation</f>
        <v/>
      </c>
      <c r="N747" s="115"/>
    </row>
    <row r="748" spans="2:14" s="78" customFormat="1" ht="24" customHeight="1" x14ac:dyDescent="0.2">
      <c r="B748" s="276">
        <v>37</v>
      </c>
      <c r="C748" s="671"/>
      <c r="D748" s="672"/>
      <c r="E748" s="672"/>
      <c r="F748" s="673"/>
      <c r="G748" s="422"/>
      <c r="H748" s="388"/>
      <c r="I748" s="388"/>
      <c r="J748" s="388"/>
      <c r="K748" s="421"/>
      <c r="L748" s="420" t="str">
        <f>duration_calculation</f>
        <v/>
      </c>
      <c r="N748" s="115"/>
    </row>
    <row r="749" spans="2:14" s="78" customFormat="1" ht="24" customHeight="1" x14ac:dyDescent="0.2">
      <c r="B749" s="276">
        <v>38</v>
      </c>
      <c r="C749" s="671"/>
      <c r="D749" s="672"/>
      <c r="E749" s="672"/>
      <c r="F749" s="673"/>
      <c r="G749" s="422"/>
      <c r="H749" s="388"/>
      <c r="I749" s="388"/>
      <c r="J749" s="388"/>
      <c r="K749" s="421"/>
      <c r="L749" s="420" t="str">
        <f>duration_calculation</f>
        <v/>
      </c>
      <c r="N749" s="115"/>
    </row>
    <row r="750" spans="2:14" s="78" customFormat="1" ht="24" customHeight="1" x14ac:dyDescent="0.2">
      <c r="B750" s="276">
        <v>39</v>
      </c>
      <c r="C750" s="671"/>
      <c r="D750" s="672"/>
      <c r="E750" s="672"/>
      <c r="F750" s="673"/>
      <c r="G750" s="422"/>
      <c r="H750" s="388"/>
      <c r="I750" s="388"/>
      <c r="J750" s="388"/>
      <c r="K750" s="421"/>
      <c r="L750" s="420" t="str">
        <f>duration_calculation</f>
        <v/>
      </c>
      <c r="N750" s="115"/>
    </row>
    <row r="751" spans="2:14" s="78" customFormat="1" ht="24" customHeight="1" x14ac:dyDescent="0.2">
      <c r="B751" s="276">
        <v>40</v>
      </c>
      <c r="C751" s="671"/>
      <c r="D751" s="672"/>
      <c r="E751" s="672"/>
      <c r="F751" s="673"/>
      <c r="G751" s="422"/>
      <c r="H751" s="388"/>
      <c r="I751" s="388"/>
      <c r="J751" s="388"/>
      <c r="K751" s="421"/>
      <c r="L751" s="420"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1093</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674" t="s">
        <v>949</v>
      </c>
      <c r="C843" s="458"/>
      <c r="D843" s="458"/>
      <c r="E843" s="261" t="s">
        <v>463</v>
      </c>
      <c r="F843" s="91" t="s">
        <v>47</v>
      </c>
      <c r="G843" s="261" t="s">
        <v>959</v>
      </c>
      <c r="H843" s="261" t="s">
        <v>950</v>
      </c>
      <c r="I843" s="261" t="s">
        <v>951</v>
      </c>
      <c r="J843" s="674" t="s">
        <v>960</v>
      </c>
      <c r="K843" s="458"/>
      <c r="L843" s="675"/>
    </row>
    <row r="844" spans="2:12" ht="54.75" customHeight="1" x14ac:dyDescent="0.2">
      <c r="B844" s="518"/>
      <c r="C844" s="504"/>
      <c r="D844" s="493"/>
      <c r="E844" s="268"/>
      <c r="F844" s="269"/>
      <c r="G844" s="267"/>
      <c r="H844" s="257" t="str">
        <f t="shared" ref="H844:H850" si="2">IF(OR(ISBLANK(F844),ISBLANK(G844)),"",VLOOKUP(F844&amp;"_"&amp;G844,risk_score_table,2,FALSE))</f>
        <v/>
      </c>
      <c r="I844" s="269"/>
      <c r="J844" s="562"/>
      <c r="K844" s="504"/>
      <c r="L844" s="493"/>
    </row>
    <row r="845" spans="2:12" ht="54.75" customHeight="1" x14ac:dyDescent="0.2">
      <c r="B845" s="518"/>
      <c r="C845" s="504"/>
      <c r="D845" s="493"/>
      <c r="E845" s="268"/>
      <c r="F845" s="269"/>
      <c r="G845" s="267"/>
      <c r="H845" s="257" t="str">
        <f t="shared" si="2"/>
        <v/>
      </c>
      <c r="I845" s="269"/>
      <c r="J845" s="562"/>
      <c r="K845" s="504"/>
      <c r="L845" s="493"/>
    </row>
    <row r="846" spans="2:12" ht="54.75" customHeight="1" x14ac:dyDescent="0.2">
      <c r="B846" s="518"/>
      <c r="C846" s="504"/>
      <c r="D846" s="493"/>
      <c r="E846" s="268"/>
      <c r="F846" s="269"/>
      <c r="G846" s="267"/>
      <c r="H846" s="257" t="str">
        <f t="shared" si="2"/>
        <v/>
      </c>
      <c r="I846" s="269"/>
      <c r="J846" s="562"/>
      <c r="K846" s="504"/>
      <c r="L846" s="493"/>
    </row>
    <row r="847" spans="2:12" ht="54.75" customHeight="1" x14ac:dyDescent="0.2">
      <c r="B847" s="518"/>
      <c r="C847" s="504"/>
      <c r="D847" s="493"/>
      <c r="E847" s="268"/>
      <c r="F847" s="269"/>
      <c r="G847" s="267"/>
      <c r="H847" s="257" t="str">
        <f t="shared" si="2"/>
        <v/>
      </c>
      <c r="I847" s="269"/>
      <c r="J847" s="562"/>
      <c r="K847" s="504"/>
      <c r="L847" s="493"/>
    </row>
    <row r="848" spans="2:12" ht="54.75" customHeight="1" x14ac:dyDescent="0.2">
      <c r="B848" s="518"/>
      <c r="C848" s="504"/>
      <c r="D848" s="493"/>
      <c r="E848" s="268"/>
      <c r="F848" s="269"/>
      <c r="G848" s="267"/>
      <c r="H848" s="257" t="str">
        <f t="shared" si="2"/>
        <v/>
      </c>
      <c r="I848" s="269"/>
      <c r="J848" s="562"/>
      <c r="K848" s="504"/>
      <c r="L848" s="493"/>
    </row>
    <row r="849" spans="2:14" ht="54.75" customHeight="1" x14ac:dyDescent="0.2">
      <c r="B849" s="518"/>
      <c r="C849" s="504"/>
      <c r="D849" s="493"/>
      <c r="E849" s="268"/>
      <c r="F849" s="269"/>
      <c r="G849" s="267"/>
      <c r="H849" s="257" t="str">
        <f t="shared" si="2"/>
        <v/>
      </c>
      <c r="I849" s="269"/>
      <c r="J849" s="562"/>
      <c r="K849" s="504"/>
      <c r="L849" s="493"/>
    </row>
    <row r="850" spans="2:14" ht="54.75" customHeight="1" x14ac:dyDescent="0.2">
      <c r="B850" s="518"/>
      <c r="C850" s="504"/>
      <c r="D850" s="493"/>
      <c r="E850" s="268"/>
      <c r="F850" s="269"/>
      <c r="G850" s="267"/>
      <c r="H850" s="257" t="str">
        <f t="shared" si="2"/>
        <v/>
      </c>
      <c r="I850" s="269"/>
      <c r="J850" s="562"/>
      <c r="K850" s="504"/>
      <c r="L850" s="493"/>
    </row>
    <row r="851" spans="2:14" x14ac:dyDescent="0.2">
      <c r="B851" s="77" t="s">
        <v>48</v>
      </c>
      <c r="C851" s="77"/>
    </row>
    <row r="852" spans="2:14" ht="18" customHeight="1" x14ac:dyDescent="0.2">
      <c r="B852" s="130" t="s">
        <v>568</v>
      </c>
      <c r="C852" s="25"/>
      <c r="D852" s="25"/>
      <c r="E852" s="25"/>
      <c r="F852" s="25"/>
      <c r="G852" s="25"/>
      <c r="H852" s="25"/>
      <c r="I852" s="25"/>
      <c r="J852" s="25"/>
      <c r="K852" s="25"/>
      <c r="L852" s="26"/>
    </row>
    <row r="853" spans="2:14" ht="18" customHeight="1" x14ac:dyDescent="0.2">
      <c r="B853" s="486" t="s">
        <v>563</v>
      </c>
      <c r="C853" s="579"/>
      <c r="D853" s="579"/>
      <c r="E853" s="579"/>
      <c r="F853" s="579"/>
      <c r="G853" s="579"/>
      <c r="H853" s="579"/>
      <c r="I853" s="579"/>
      <c r="J853" s="580"/>
      <c r="K853" s="518"/>
      <c r="L853" s="525"/>
      <c r="N853" s="119"/>
    </row>
    <row r="854" spans="2:14" ht="18" customHeight="1" x14ac:dyDescent="0.2">
      <c r="B854" s="486" t="s">
        <v>564</v>
      </c>
      <c r="C854" s="579" t="s">
        <v>560</v>
      </c>
      <c r="D854" s="579" t="s">
        <v>560</v>
      </c>
      <c r="E854" s="579" t="s">
        <v>560</v>
      </c>
      <c r="F854" s="579" t="s">
        <v>560</v>
      </c>
      <c r="G854" s="579" t="s">
        <v>560</v>
      </c>
      <c r="H854" s="579" t="s">
        <v>560</v>
      </c>
      <c r="I854" s="579" t="s">
        <v>560</v>
      </c>
      <c r="J854" s="580" t="s">
        <v>560</v>
      </c>
      <c r="K854" s="518"/>
      <c r="L854" s="525"/>
    </row>
    <row r="855" spans="2:14" ht="18" customHeight="1" x14ac:dyDescent="0.2">
      <c r="B855" s="486" t="s">
        <v>565</v>
      </c>
      <c r="C855" s="579" t="s">
        <v>561</v>
      </c>
      <c r="D855" s="579" t="s">
        <v>561</v>
      </c>
      <c r="E855" s="579" t="s">
        <v>561</v>
      </c>
      <c r="F855" s="579" t="s">
        <v>561</v>
      </c>
      <c r="G855" s="579" t="s">
        <v>561</v>
      </c>
      <c r="H855" s="579" t="s">
        <v>561</v>
      </c>
      <c r="I855" s="579" t="s">
        <v>561</v>
      </c>
      <c r="J855" s="580" t="s">
        <v>561</v>
      </c>
      <c r="K855" s="518"/>
      <c r="L855" s="525"/>
    </row>
    <row r="856" spans="2:14" ht="18" customHeight="1" x14ac:dyDescent="0.2">
      <c r="B856" s="486" t="s">
        <v>566</v>
      </c>
      <c r="C856" s="579" t="s">
        <v>562</v>
      </c>
      <c r="D856" s="579" t="s">
        <v>562</v>
      </c>
      <c r="E856" s="579" t="s">
        <v>562</v>
      </c>
      <c r="F856" s="579" t="s">
        <v>562</v>
      </c>
      <c r="G856" s="579" t="s">
        <v>562</v>
      </c>
      <c r="H856" s="579" t="s">
        <v>562</v>
      </c>
      <c r="I856" s="579" t="s">
        <v>562</v>
      </c>
      <c r="J856" s="580" t="s">
        <v>562</v>
      </c>
      <c r="K856" s="518"/>
      <c r="L856" s="525"/>
    </row>
    <row r="857" spans="2:14" ht="18" customHeight="1" x14ac:dyDescent="0.2">
      <c r="B857" s="486" t="s">
        <v>567</v>
      </c>
      <c r="C857" s="526"/>
      <c r="D857" s="526"/>
      <c r="E857" s="526"/>
      <c r="F857" s="526"/>
      <c r="G857" s="526"/>
      <c r="H857" s="526"/>
      <c r="I857" s="526"/>
      <c r="J857" s="527"/>
      <c r="K857" s="518"/>
      <c r="L857" s="525"/>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909</v>
      </c>
      <c r="C871" s="111"/>
      <c r="D871" s="111"/>
      <c r="E871" s="111"/>
      <c r="F871" s="111"/>
      <c r="G871" s="111"/>
      <c r="H871" s="111"/>
      <c r="I871" s="111"/>
      <c r="J871" s="111"/>
      <c r="K871" s="111"/>
      <c r="L871" s="134"/>
    </row>
    <row r="872" spans="2:12" s="78" customFormat="1" ht="18" customHeight="1" x14ac:dyDescent="0.2">
      <c r="B872" s="244" t="s">
        <v>910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676" t="s">
        <v>502</v>
      </c>
      <c r="K874" s="677"/>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669" t="str">
        <f>IF(investments_included="Yes","5 years","3 years")</f>
        <v>5 years</v>
      </c>
      <c r="K876" s="670"/>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989</v>
      </c>
      <c r="C879" s="4"/>
      <c r="D879" s="4"/>
      <c r="E879" s="4"/>
      <c r="F879" s="4"/>
      <c r="G879" s="4"/>
      <c r="H879" s="4"/>
      <c r="I879" s="4"/>
      <c r="J879" s="4"/>
      <c r="K879" s="4"/>
      <c r="L879" s="6"/>
    </row>
    <row r="880" spans="2:12" s="78" customFormat="1" ht="18" customHeight="1" x14ac:dyDescent="0.2">
      <c r="B880" s="596" t="s">
        <v>54</v>
      </c>
      <c r="C880" s="597"/>
      <c r="D880" s="597"/>
      <c r="E880" s="598"/>
      <c r="F880" s="666" t="s">
        <v>53</v>
      </c>
      <c r="G880" s="667"/>
      <c r="H880" s="667"/>
      <c r="I880" s="667"/>
      <c r="J880" s="668"/>
      <c r="K880" s="592" t="s">
        <v>39</v>
      </c>
      <c r="L880" s="593"/>
    </row>
    <row r="881" spans="2:12" s="78" customFormat="1" ht="18" customHeight="1" x14ac:dyDescent="0.2">
      <c r="B881" s="599"/>
      <c r="C881" s="600"/>
      <c r="D881" s="600"/>
      <c r="E881" s="601"/>
      <c r="F881" s="137" t="s">
        <v>27</v>
      </c>
      <c r="G881" s="137" t="s">
        <v>28</v>
      </c>
      <c r="H881" s="137" t="s">
        <v>29</v>
      </c>
      <c r="I881" s="137" t="s">
        <v>30</v>
      </c>
      <c r="J881" s="137" t="s">
        <v>31</v>
      </c>
      <c r="K881" s="594"/>
      <c r="L881" s="595"/>
    </row>
    <row r="882" spans="2:12" s="78" customFormat="1" ht="18" customHeight="1" x14ac:dyDescent="0.2">
      <c r="B882" s="658" t="s">
        <v>41</v>
      </c>
      <c r="C882" s="491"/>
      <c r="D882" s="491"/>
      <c r="E882" s="657"/>
      <c r="F882" s="267"/>
      <c r="G882" s="267"/>
      <c r="H882" s="267"/>
      <c r="I882" s="267"/>
      <c r="J882" s="267"/>
      <c r="K882" s="659">
        <f t="shared" ref="K882:K890" si="3">SUM(E882:J882)</f>
        <v>0</v>
      </c>
      <c r="L882" s="660"/>
    </row>
    <row r="883" spans="2:12" s="78" customFormat="1" ht="18" customHeight="1" x14ac:dyDescent="0.2">
      <c r="B883" s="658" t="s">
        <v>50</v>
      </c>
      <c r="C883" s="491"/>
      <c r="D883" s="491"/>
      <c r="E883" s="657"/>
      <c r="F883" s="267"/>
      <c r="G883" s="267"/>
      <c r="H883" s="267"/>
      <c r="I883" s="267"/>
      <c r="J883" s="267"/>
      <c r="K883" s="659">
        <f t="shared" si="3"/>
        <v>0</v>
      </c>
      <c r="L883" s="660"/>
    </row>
    <row r="884" spans="2:12" s="78" customFormat="1" ht="18" customHeight="1" x14ac:dyDescent="0.2">
      <c r="B884" s="658" t="s">
        <v>51</v>
      </c>
      <c r="C884" s="491"/>
      <c r="D884" s="491"/>
      <c r="E884" s="657"/>
      <c r="F884" s="267"/>
      <c r="G884" s="267"/>
      <c r="H884" s="267"/>
      <c r="I884" s="267"/>
      <c r="J884" s="267"/>
      <c r="K884" s="659">
        <f t="shared" si="3"/>
        <v>0</v>
      </c>
      <c r="L884" s="660"/>
    </row>
    <row r="885" spans="2:12" s="78" customFormat="1" ht="18" customHeight="1" x14ac:dyDescent="0.2">
      <c r="B885" s="479" t="s">
        <v>52</v>
      </c>
      <c r="C885" s="494"/>
      <c r="D885" s="494"/>
      <c r="E885" s="495"/>
      <c r="F885" s="267"/>
      <c r="G885" s="267"/>
      <c r="H885" s="267"/>
      <c r="I885" s="267"/>
      <c r="J885" s="267"/>
      <c r="K885" s="659">
        <f t="shared" si="3"/>
        <v>0</v>
      </c>
      <c r="L885" s="660"/>
    </row>
    <row r="886" spans="2:12" s="78" customFormat="1" ht="18" customHeight="1" x14ac:dyDescent="0.2">
      <c r="B886" s="479" t="s">
        <v>52</v>
      </c>
      <c r="C886" s="494"/>
      <c r="D886" s="494"/>
      <c r="E886" s="495"/>
      <c r="F886" s="267"/>
      <c r="G886" s="267"/>
      <c r="H886" s="267"/>
      <c r="I886" s="267"/>
      <c r="J886" s="267"/>
      <c r="K886" s="659">
        <f t="shared" si="3"/>
        <v>0</v>
      </c>
      <c r="L886" s="660"/>
    </row>
    <row r="887" spans="2:12" s="78" customFormat="1" ht="18" customHeight="1" x14ac:dyDescent="0.2">
      <c r="B887" s="479" t="s">
        <v>52</v>
      </c>
      <c r="C887" s="494"/>
      <c r="D887" s="494"/>
      <c r="E887" s="495"/>
      <c r="F887" s="267"/>
      <c r="G887" s="267"/>
      <c r="H887" s="267"/>
      <c r="I887" s="267"/>
      <c r="J887" s="267"/>
      <c r="K887" s="659">
        <f t="shared" si="3"/>
        <v>0</v>
      </c>
      <c r="L887" s="660"/>
    </row>
    <row r="888" spans="2:12" s="78" customFormat="1" ht="18" customHeight="1" x14ac:dyDescent="0.2">
      <c r="B888" s="479" t="s">
        <v>52</v>
      </c>
      <c r="C888" s="494"/>
      <c r="D888" s="494"/>
      <c r="E888" s="495"/>
      <c r="F888" s="267"/>
      <c r="G888" s="267"/>
      <c r="H888" s="267"/>
      <c r="I888" s="267"/>
      <c r="J888" s="267"/>
      <c r="K888" s="659">
        <f t="shared" si="3"/>
        <v>0</v>
      </c>
      <c r="L888" s="660"/>
    </row>
    <row r="889" spans="2:12" s="78" customFormat="1" ht="18" customHeight="1" x14ac:dyDescent="0.2">
      <c r="B889" s="479" t="s">
        <v>52</v>
      </c>
      <c r="C889" s="494"/>
      <c r="D889" s="494"/>
      <c r="E889" s="495"/>
      <c r="F889" s="267"/>
      <c r="G889" s="267"/>
      <c r="H889" s="267"/>
      <c r="I889" s="267"/>
      <c r="J889" s="267"/>
      <c r="K889" s="659">
        <f t="shared" si="3"/>
        <v>0</v>
      </c>
      <c r="L889" s="660"/>
    </row>
    <row r="890" spans="2:12" s="78" customFormat="1" ht="18" customHeight="1" x14ac:dyDescent="0.2">
      <c r="B890" s="658" t="s">
        <v>39</v>
      </c>
      <c r="C890" s="491"/>
      <c r="D890" s="491"/>
      <c r="E890" s="657"/>
      <c r="F890" s="91">
        <f>SUM(F882:F889)</f>
        <v>0</v>
      </c>
      <c r="G890" s="91">
        <f>SUM(G882:G889)</f>
        <v>0</v>
      </c>
      <c r="H890" s="91">
        <f>SUM(H882:H889)</f>
        <v>0</v>
      </c>
      <c r="I890" s="91">
        <f>SUM(I882:I889)</f>
        <v>0</v>
      </c>
      <c r="J890" s="91">
        <f>SUM(J882:J889)</f>
        <v>0</v>
      </c>
      <c r="K890" s="659">
        <f t="shared" si="3"/>
        <v>0</v>
      </c>
      <c r="L890" s="660"/>
    </row>
    <row r="891" spans="2:12" s="78" customFormat="1" ht="18" customHeight="1" x14ac:dyDescent="0.2">
      <c r="B891" s="596" t="s">
        <v>55</v>
      </c>
      <c r="C891" s="597"/>
      <c r="D891" s="597"/>
      <c r="E891" s="598"/>
      <c r="F891" s="666" t="s">
        <v>53</v>
      </c>
      <c r="G891" s="667"/>
      <c r="H891" s="667"/>
      <c r="I891" s="667"/>
      <c r="J891" s="668"/>
      <c r="K891" s="592" t="s">
        <v>39</v>
      </c>
      <c r="L891" s="593"/>
    </row>
    <row r="892" spans="2:12" s="78" customFormat="1" ht="18" customHeight="1" x14ac:dyDescent="0.2">
      <c r="B892" s="599"/>
      <c r="C892" s="600"/>
      <c r="D892" s="600"/>
      <c r="E892" s="601"/>
      <c r="F892" s="137" t="s">
        <v>27</v>
      </c>
      <c r="G892" s="137" t="s">
        <v>28</v>
      </c>
      <c r="H892" s="137" t="s">
        <v>29</v>
      </c>
      <c r="I892" s="137" t="s">
        <v>30</v>
      </c>
      <c r="J892" s="137" t="s">
        <v>31</v>
      </c>
      <c r="K892" s="594"/>
      <c r="L892" s="595"/>
    </row>
    <row r="893" spans="2:12" s="78" customFormat="1" ht="18" customHeight="1" x14ac:dyDescent="0.2">
      <c r="B893" s="658" t="s">
        <v>56</v>
      </c>
      <c r="C893" s="491"/>
      <c r="D893" s="491"/>
      <c r="E893" s="657"/>
      <c r="F893" s="267"/>
      <c r="G893" s="267"/>
      <c r="H893" s="267"/>
      <c r="I893" s="267"/>
      <c r="J893" s="267"/>
      <c r="K893" s="659">
        <f>SUM(E893:J893)</f>
        <v>0</v>
      </c>
      <c r="L893" s="660"/>
    </row>
    <row r="894" spans="2:12" s="78" customFormat="1" ht="18" customHeight="1" x14ac:dyDescent="0.2">
      <c r="B894" s="658" t="s">
        <v>57</v>
      </c>
      <c r="C894" s="491"/>
      <c r="D894" s="491"/>
      <c r="E894" s="657"/>
      <c r="F894" s="267"/>
      <c r="G894" s="267"/>
      <c r="H894" s="267"/>
      <c r="I894" s="267"/>
      <c r="J894" s="267"/>
      <c r="K894" s="659">
        <f t="shared" ref="K894:K901" si="4">SUM(E894:J894)</f>
        <v>0</v>
      </c>
      <c r="L894" s="660"/>
    </row>
    <row r="895" spans="2:12" s="78" customFormat="1" ht="18" customHeight="1" x14ac:dyDescent="0.2">
      <c r="B895" s="658" t="s">
        <v>58</v>
      </c>
      <c r="C895" s="491"/>
      <c r="D895" s="491"/>
      <c r="E895" s="657"/>
      <c r="F895" s="267"/>
      <c r="G895" s="267"/>
      <c r="H895" s="267"/>
      <c r="I895" s="267"/>
      <c r="J895" s="267"/>
      <c r="K895" s="659">
        <f t="shared" si="4"/>
        <v>0</v>
      </c>
      <c r="L895" s="660"/>
    </row>
    <row r="896" spans="2:12" s="78" customFormat="1" ht="18" customHeight="1" x14ac:dyDescent="0.2">
      <c r="B896" s="658" t="s">
        <v>59</v>
      </c>
      <c r="C896" s="491"/>
      <c r="D896" s="491"/>
      <c r="E896" s="657"/>
      <c r="F896" s="267"/>
      <c r="G896" s="267"/>
      <c r="H896" s="267"/>
      <c r="I896" s="267"/>
      <c r="J896" s="267"/>
      <c r="K896" s="659">
        <f t="shared" si="4"/>
        <v>0</v>
      </c>
      <c r="L896" s="660"/>
    </row>
    <row r="897" spans="2:12" s="78" customFormat="1" ht="18" customHeight="1" x14ac:dyDescent="0.2">
      <c r="B897" s="479" t="s">
        <v>52</v>
      </c>
      <c r="C897" s="494"/>
      <c r="D897" s="494"/>
      <c r="E897" s="495"/>
      <c r="F897" s="267"/>
      <c r="G897" s="267"/>
      <c r="H897" s="267"/>
      <c r="I897" s="267"/>
      <c r="J897" s="267"/>
      <c r="K897" s="659">
        <f t="shared" si="4"/>
        <v>0</v>
      </c>
      <c r="L897" s="660"/>
    </row>
    <row r="898" spans="2:12" s="78" customFormat="1" ht="18" customHeight="1" x14ac:dyDescent="0.2">
      <c r="B898" s="479" t="s">
        <v>52</v>
      </c>
      <c r="C898" s="494"/>
      <c r="D898" s="494"/>
      <c r="E898" s="495"/>
      <c r="F898" s="267"/>
      <c r="G898" s="267"/>
      <c r="H898" s="267"/>
      <c r="I898" s="267"/>
      <c r="J898" s="267"/>
      <c r="K898" s="659">
        <f t="shared" si="4"/>
        <v>0</v>
      </c>
      <c r="L898" s="660"/>
    </row>
    <row r="899" spans="2:12" s="78" customFormat="1" ht="18" customHeight="1" x14ac:dyDescent="0.2">
      <c r="B899" s="479" t="s">
        <v>52</v>
      </c>
      <c r="C899" s="494"/>
      <c r="D899" s="494"/>
      <c r="E899" s="495"/>
      <c r="F899" s="267"/>
      <c r="G899" s="267"/>
      <c r="H899" s="267"/>
      <c r="I899" s="267"/>
      <c r="J899" s="267"/>
      <c r="K899" s="659">
        <f t="shared" si="4"/>
        <v>0</v>
      </c>
      <c r="L899" s="660"/>
    </row>
    <row r="900" spans="2:12" s="78" customFormat="1" ht="18" customHeight="1" x14ac:dyDescent="0.2">
      <c r="B900" s="479" t="s">
        <v>52</v>
      </c>
      <c r="C900" s="494"/>
      <c r="D900" s="494"/>
      <c r="E900" s="495"/>
      <c r="F900" s="267"/>
      <c r="G900" s="267"/>
      <c r="H900" s="267"/>
      <c r="I900" s="267"/>
      <c r="J900" s="267"/>
      <c r="K900" s="659">
        <f t="shared" si="4"/>
        <v>0</v>
      </c>
      <c r="L900" s="660"/>
    </row>
    <row r="901" spans="2:12" s="78" customFormat="1" ht="18" customHeight="1" x14ac:dyDescent="0.2">
      <c r="B901" s="658" t="s">
        <v>39</v>
      </c>
      <c r="C901" s="491"/>
      <c r="D901" s="491"/>
      <c r="E901" s="657"/>
      <c r="F901" s="91">
        <f>SUM(F893:F900)</f>
        <v>0</v>
      </c>
      <c r="G901" s="91">
        <f>SUM(G893:G900)</f>
        <v>0</v>
      </c>
      <c r="H901" s="91">
        <f>SUM(H893:H900)</f>
        <v>0</v>
      </c>
      <c r="I901" s="91">
        <f>SUM(I893:I900)</f>
        <v>0</v>
      </c>
      <c r="J901" s="91">
        <f>SUM(J893:J900)</f>
        <v>0</v>
      </c>
      <c r="K901" s="659">
        <f t="shared" si="4"/>
        <v>0</v>
      </c>
      <c r="L901" s="660"/>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484" t="s">
        <v>940</v>
      </c>
      <c r="C913" s="664"/>
      <c r="D913" s="664"/>
      <c r="E913" s="664"/>
      <c r="F913" s="664"/>
      <c r="G913" s="664"/>
      <c r="H913" s="664"/>
      <c r="I913" s="664"/>
      <c r="J913" s="664"/>
      <c r="K913" s="664"/>
      <c r="L913" s="665"/>
    </row>
    <row r="914" spans="2:13" ht="28.5" customHeight="1" x14ac:dyDescent="0.2">
      <c r="B914" s="141" t="s">
        <v>200</v>
      </c>
      <c r="C914" s="589" t="s">
        <v>86</v>
      </c>
      <c r="D914" s="590"/>
      <c r="E914" s="590"/>
      <c r="F914" s="590"/>
      <c r="G914" s="590"/>
      <c r="H914" s="590"/>
      <c r="I914" s="590"/>
      <c r="J914" s="591"/>
      <c r="K914" s="142" t="s">
        <v>62</v>
      </c>
      <c r="L914" s="142" t="s">
        <v>63</v>
      </c>
    </row>
    <row r="915" spans="2:13" ht="36" customHeight="1" x14ac:dyDescent="0.2">
      <c r="B915" s="136">
        <v>1</v>
      </c>
      <c r="C915" s="586" t="s">
        <v>4</v>
      </c>
      <c r="D915" s="587"/>
      <c r="E915" s="587"/>
      <c r="F915" s="587"/>
      <c r="G915" s="587"/>
      <c r="H915" s="587"/>
      <c r="I915" s="587"/>
      <c r="J915" s="588"/>
      <c r="K915" s="143" t="s">
        <v>502</v>
      </c>
      <c r="L915" s="266"/>
      <c r="M915" s="263"/>
    </row>
    <row r="916" spans="2:13" ht="36" customHeight="1" x14ac:dyDescent="0.2">
      <c r="B916" s="136">
        <v>2</v>
      </c>
      <c r="C916" s="607" t="s">
        <v>1435</v>
      </c>
      <c r="D916" s="587"/>
      <c r="E916" s="587"/>
      <c r="F916" s="587"/>
      <c r="G916" s="587"/>
      <c r="H916" s="587"/>
      <c r="I916" s="587"/>
      <c r="J916" s="588"/>
      <c r="K916" s="143" t="s">
        <v>503</v>
      </c>
      <c r="L916" s="266"/>
      <c r="M916" s="263"/>
    </row>
    <row r="917" spans="2:13" ht="36" customHeight="1" x14ac:dyDescent="0.2">
      <c r="B917" s="136">
        <v>3</v>
      </c>
      <c r="C917" s="607" t="s">
        <v>1436</v>
      </c>
      <c r="D917" s="587"/>
      <c r="E917" s="587"/>
      <c r="F917" s="587"/>
      <c r="G917" s="587"/>
      <c r="H917" s="587"/>
      <c r="I917" s="587"/>
      <c r="J917" s="588"/>
      <c r="K917" s="143" t="s">
        <v>502</v>
      </c>
      <c r="L917" s="266"/>
      <c r="M917" s="263"/>
    </row>
    <row r="918" spans="2:13" ht="36" hidden="1" customHeight="1" x14ac:dyDescent="0.2">
      <c r="B918" s="136">
        <v>4</v>
      </c>
      <c r="C918" s="586"/>
      <c r="D918" s="587"/>
      <c r="E918" s="587"/>
      <c r="F918" s="587"/>
      <c r="G918" s="587"/>
      <c r="H918" s="587"/>
      <c r="I918" s="587"/>
      <c r="J918" s="588"/>
      <c r="K918" s="143"/>
      <c r="L918" s="266"/>
      <c r="M918" s="263"/>
    </row>
    <row r="919" spans="2:13" ht="36" hidden="1" customHeight="1" x14ac:dyDescent="0.2">
      <c r="B919" s="136">
        <v>5</v>
      </c>
      <c r="C919" s="586"/>
      <c r="D919" s="587"/>
      <c r="E919" s="587"/>
      <c r="F919" s="587"/>
      <c r="G919" s="587"/>
      <c r="H919" s="587"/>
      <c r="I919" s="587"/>
      <c r="J919" s="588"/>
      <c r="K919" s="143"/>
      <c r="L919" s="266"/>
      <c r="M919" s="263"/>
    </row>
    <row r="920" spans="2:13" ht="36" hidden="1" customHeight="1" x14ac:dyDescent="0.2">
      <c r="B920" s="136">
        <v>6</v>
      </c>
      <c r="C920" s="586"/>
      <c r="D920" s="587"/>
      <c r="E920" s="587"/>
      <c r="F920" s="587"/>
      <c r="G920" s="587"/>
      <c r="H920" s="587"/>
      <c r="I920" s="587"/>
      <c r="J920" s="588"/>
      <c r="K920" s="143"/>
      <c r="L920" s="266"/>
      <c r="M920" s="263"/>
    </row>
    <row r="921" spans="2:13" ht="36" hidden="1" customHeight="1" x14ac:dyDescent="0.2">
      <c r="B921" s="136">
        <v>7</v>
      </c>
      <c r="C921" s="586"/>
      <c r="D921" s="587"/>
      <c r="E921" s="587"/>
      <c r="F921" s="587"/>
      <c r="G921" s="587"/>
      <c r="H921" s="587"/>
      <c r="I921" s="587"/>
      <c r="J921" s="588"/>
      <c r="K921" s="143"/>
      <c r="L921" s="266"/>
      <c r="M921" s="263"/>
    </row>
    <row r="922" spans="2:13" ht="36" hidden="1" customHeight="1" x14ac:dyDescent="0.2">
      <c r="B922" s="136">
        <v>8</v>
      </c>
      <c r="C922" s="586"/>
      <c r="D922" s="587"/>
      <c r="E922" s="587"/>
      <c r="F922" s="587"/>
      <c r="G922" s="587"/>
      <c r="H922" s="587"/>
      <c r="I922" s="587"/>
      <c r="J922" s="588"/>
      <c r="K922" s="143"/>
      <c r="L922" s="266"/>
      <c r="M922" s="263"/>
    </row>
    <row r="923" spans="2:13" s="78" customFormat="1" ht="6.75" customHeight="1" x14ac:dyDescent="0.2"/>
    <row r="924" spans="2:13" ht="28.5" customHeight="1" x14ac:dyDescent="0.2">
      <c r="B924" s="484" t="s">
        <v>656</v>
      </c>
      <c r="C924" s="581"/>
      <c r="D924" s="581"/>
      <c r="E924" s="581"/>
      <c r="F924" s="581"/>
      <c r="G924" s="581"/>
      <c r="H924" s="581"/>
      <c r="I924" s="581"/>
      <c r="J924" s="581"/>
      <c r="K924" s="581"/>
      <c r="L924" s="582"/>
    </row>
    <row r="925" spans="2:13" ht="30.75" customHeight="1" x14ac:dyDescent="0.2">
      <c r="B925" s="144">
        <v>1</v>
      </c>
      <c r="C925" s="583"/>
      <c r="D925" s="584"/>
      <c r="E925" s="584"/>
      <c r="F925" s="584"/>
      <c r="G925" s="584"/>
      <c r="H925" s="584"/>
      <c r="I925" s="584"/>
      <c r="J925" s="584"/>
      <c r="K925" s="584"/>
      <c r="L925" s="585"/>
    </row>
    <row r="926" spans="2:13" ht="30.75" customHeight="1" x14ac:dyDescent="0.2">
      <c r="B926" s="144">
        <v>2</v>
      </c>
      <c r="C926" s="583"/>
      <c r="D926" s="584"/>
      <c r="E926" s="584"/>
      <c r="F926" s="584"/>
      <c r="G926" s="584"/>
      <c r="H926" s="584"/>
      <c r="I926" s="584"/>
      <c r="J926" s="584"/>
      <c r="K926" s="584"/>
      <c r="L926" s="585"/>
    </row>
    <row r="927" spans="2:13" ht="30.75" customHeight="1" x14ac:dyDescent="0.2">
      <c r="B927" s="144">
        <v>3</v>
      </c>
      <c r="C927" s="583"/>
      <c r="D927" s="584"/>
      <c r="E927" s="584"/>
      <c r="F927" s="584"/>
      <c r="G927" s="584"/>
      <c r="H927" s="584"/>
      <c r="I927" s="584"/>
      <c r="J927" s="584"/>
      <c r="K927" s="584"/>
      <c r="L927" s="585"/>
    </row>
    <row r="928" spans="2:13" ht="30.75" customHeight="1" x14ac:dyDescent="0.2">
      <c r="B928" s="144">
        <v>4</v>
      </c>
      <c r="C928" s="583"/>
      <c r="D928" s="584"/>
      <c r="E928" s="584"/>
      <c r="F928" s="584"/>
      <c r="G928" s="584"/>
      <c r="H928" s="584"/>
      <c r="I928" s="584"/>
      <c r="J928" s="584"/>
      <c r="K928" s="584"/>
      <c r="L928" s="585"/>
    </row>
    <row r="929" spans="2:12" s="78" customFormat="1" ht="6.75" customHeight="1" x14ac:dyDescent="0.2"/>
    <row r="930" spans="2:12" ht="18" customHeight="1" x14ac:dyDescent="0.2">
      <c r="B930" s="661" t="s">
        <v>64</v>
      </c>
      <c r="C930" s="662"/>
      <c r="D930" s="662"/>
      <c r="E930" s="662"/>
      <c r="F930" s="662"/>
      <c r="G930" s="662"/>
      <c r="H930" s="662"/>
      <c r="I930" s="662"/>
      <c r="J930" s="662"/>
      <c r="K930" s="662"/>
      <c r="L930" s="663"/>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657</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658</v>
      </c>
      <c r="D945" s="219"/>
      <c r="E945" s="219"/>
      <c r="F945" s="219"/>
      <c r="G945" s="219"/>
      <c r="H945" s="219"/>
      <c r="I945" s="219"/>
      <c r="J945" s="219"/>
      <c r="K945" s="217"/>
      <c r="L945" s="217"/>
    </row>
    <row r="946" spans="1:14" ht="28.5" customHeight="1" x14ac:dyDescent="0.2">
      <c r="C946" s="141" t="s">
        <v>200</v>
      </c>
      <c r="D946" s="589" t="s">
        <v>87</v>
      </c>
      <c r="E946" s="591"/>
      <c r="F946" s="589" t="s">
        <v>659</v>
      </c>
      <c r="G946" s="590"/>
      <c r="H946" s="591"/>
      <c r="I946" s="589" t="s">
        <v>660</v>
      </c>
      <c r="J946" s="591"/>
      <c r="K946" s="234"/>
      <c r="L946" s="214"/>
    </row>
    <row r="947" spans="1:14" ht="36" customHeight="1" x14ac:dyDescent="0.2">
      <c r="C947" s="136">
        <v>1</v>
      </c>
      <c r="D947" s="492"/>
      <c r="E947" s="493"/>
      <c r="F947" s="492"/>
      <c r="G947" s="504"/>
      <c r="H947" s="493"/>
      <c r="I947" s="492"/>
      <c r="J947" s="493"/>
      <c r="K947" s="234"/>
      <c r="L947" s="215"/>
    </row>
    <row r="948" spans="1:14" ht="36" customHeight="1" x14ac:dyDescent="0.2">
      <c r="C948" s="136">
        <v>2</v>
      </c>
      <c r="D948" s="492"/>
      <c r="E948" s="493"/>
      <c r="F948" s="492"/>
      <c r="G948" s="504"/>
      <c r="H948" s="493"/>
      <c r="I948" s="492"/>
      <c r="J948" s="493"/>
      <c r="K948" s="234"/>
      <c r="L948" s="215"/>
    </row>
    <row r="949" spans="1:14" ht="36" customHeight="1" x14ac:dyDescent="0.2">
      <c r="C949" s="136">
        <v>3</v>
      </c>
      <c r="D949" s="492"/>
      <c r="E949" s="493"/>
      <c r="F949" s="492"/>
      <c r="G949" s="504"/>
      <c r="H949" s="493"/>
      <c r="I949" s="492"/>
      <c r="J949" s="493"/>
      <c r="K949" s="234"/>
      <c r="L949" s="215"/>
    </row>
    <row r="950" spans="1:14" ht="36" customHeight="1" x14ac:dyDescent="0.2">
      <c r="C950" s="136">
        <v>4</v>
      </c>
      <c r="D950" s="492"/>
      <c r="E950" s="493"/>
      <c r="F950" s="492"/>
      <c r="G950" s="504"/>
      <c r="H950" s="493"/>
      <c r="I950" s="492"/>
      <c r="J950" s="493"/>
      <c r="K950" s="234"/>
      <c r="L950" s="215"/>
    </row>
    <row r="951" spans="1:14" ht="36" customHeight="1" x14ac:dyDescent="0.2">
      <c r="C951" s="136">
        <v>5</v>
      </c>
      <c r="D951" s="492"/>
      <c r="E951" s="493"/>
      <c r="F951" s="492"/>
      <c r="G951" s="504"/>
      <c r="H951" s="493"/>
      <c r="I951" s="492"/>
      <c r="J951" s="493"/>
      <c r="K951" s="234"/>
      <c r="L951" s="215"/>
    </row>
    <row r="952" spans="1:14" ht="36" customHeight="1" x14ac:dyDescent="0.2">
      <c r="C952" s="136">
        <v>6</v>
      </c>
      <c r="D952" s="492"/>
      <c r="E952" s="493"/>
      <c r="F952" s="492"/>
      <c r="G952" s="504"/>
      <c r="H952" s="493"/>
      <c r="I952" s="492"/>
      <c r="J952" s="493"/>
      <c r="K952" s="234"/>
      <c r="L952" s="215"/>
    </row>
    <row r="953" spans="1:14" ht="36" customHeight="1" x14ac:dyDescent="0.2">
      <c r="C953" s="136">
        <v>7</v>
      </c>
      <c r="D953" s="492"/>
      <c r="E953" s="493"/>
      <c r="F953" s="492"/>
      <c r="G953" s="504"/>
      <c r="H953" s="493"/>
      <c r="I953" s="492"/>
      <c r="J953" s="493"/>
      <c r="K953" s="234"/>
      <c r="L953" s="215"/>
    </row>
    <row r="954" spans="1:14" ht="36" customHeight="1" x14ac:dyDescent="0.2">
      <c r="C954" s="136">
        <v>8</v>
      </c>
      <c r="D954" s="492"/>
      <c r="E954" s="493"/>
      <c r="F954" s="492"/>
      <c r="G954" s="504"/>
      <c r="H954" s="493"/>
      <c r="I954" s="492"/>
      <c r="J954" s="493"/>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1448</v>
      </c>
      <c r="C956" s="146"/>
      <c r="D956" s="146"/>
      <c r="E956" s="146"/>
      <c r="F956" s="146"/>
      <c r="G956" s="146"/>
      <c r="H956" s="146"/>
      <c r="I956" s="146"/>
      <c r="J956" s="146"/>
      <c r="K956" s="212"/>
      <c r="L956" s="213"/>
    </row>
    <row r="957" spans="1:14" ht="18" customHeight="1" x14ac:dyDescent="0.2">
      <c r="B957" s="549" t="s">
        <v>1417</v>
      </c>
      <c r="C957" s="550"/>
      <c r="D957" s="550"/>
      <c r="E957" s="550"/>
      <c r="F957" s="550"/>
      <c r="G957" s="550"/>
      <c r="H957" s="550"/>
      <c r="I957" s="550"/>
      <c r="J957" s="550"/>
      <c r="K957" s="550"/>
      <c r="L957" s="551"/>
    </row>
    <row r="958" spans="1:14" ht="110.25" customHeight="1" x14ac:dyDescent="0.2">
      <c r="B958" s="552"/>
      <c r="C958" s="553"/>
      <c r="D958" s="553"/>
      <c r="E958" s="553"/>
      <c r="F958" s="553"/>
      <c r="G958" s="553"/>
      <c r="H958" s="553"/>
      <c r="I958" s="553"/>
      <c r="J958" s="553"/>
      <c r="K958" s="553"/>
      <c r="L958" s="554"/>
      <c r="N958" s="450"/>
    </row>
    <row r="959" spans="1:14" ht="39" customHeight="1" x14ac:dyDescent="0.2">
      <c r="B959" s="535" t="s">
        <v>1421</v>
      </c>
      <c r="C959" s="555"/>
      <c r="D959" s="555"/>
      <c r="E959" s="555"/>
      <c r="F959" s="555"/>
      <c r="G959" s="555"/>
      <c r="H959" s="555"/>
      <c r="I959" s="555"/>
      <c r="J959" s="555"/>
      <c r="K959" s="555"/>
      <c r="L959" s="556"/>
      <c r="N959" s="450"/>
    </row>
    <row r="960" spans="1:14" ht="95.25" customHeight="1" x14ac:dyDescent="0.2">
      <c r="B960" s="535" t="s">
        <v>1418</v>
      </c>
      <c r="C960" s="536"/>
      <c r="D960" s="536"/>
      <c r="E960" s="536"/>
      <c r="F960" s="536"/>
      <c r="G960" s="536"/>
      <c r="H960" s="536"/>
      <c r="I960" s="536"/>
      <c r="J960" s="536"/>
      <c r="K960" s="536"/>
      <c r="L960" s="537"/>
      <c r="N960" s="450"/>
    </row>
    <row r="961" spans="2:14" ht="27.75" customHeight="1" x14ac:dyDescent="0.2">
      <c r="B961" s="538" t="s">
        <v>248</v>
      </c>
      <c r="C961" s="539"/>
      <c r="D961" s="539"/>
      <c r="E961" s="539"/>
      <c r="F961" s="539"/>
      <c r="G961" s="539"/>
      <c r="H961" s="539"/>
      <c r="I961" s="539"/>
      <c r="J961" s="539"/>
      <c r="K961" s="539"/>
      <c r="L961" s="540"/>
      <c r="N961" s="450"/>
    </row>
    <row r="962" spans="2:14" ht="12.75" customHeight="1" x14ac:dyDescent="0.2">
      <c r="B962" s="541" t="s">
        <v>250</v>
      </c>
      <c r="C962" s="542"/>
      <c r="D962" s="542"/>
      <c r="E962" s="542"/>
      <c r="F962" s="542"/>
      <c r="G962" s="542"/>
      <c r="H962" s="542"/>
      <c r="I962" s="542"/>
      <c r="J962" s="542"/>
      <c r="K962" s="542"/>
      <c r="L962" s="543"/>
      <c r="N962" s="450"/>
    </row>
    <row r="963" spans="2:14" ht="12.75" customHeight="1" x14ac:dyDescent="0.2">
      <c r="B963" s="541" t="s">
        <v>249</v>
      </c>
      <c r="C963" s="542"/>
      <c r="D963" s="542"/>
      <c r="E963" s="542"/>
      <c r="F963" s="542"/>
      <c r="G963" s="542"/>
      <c r="H963" s="542"/>
      <c r="I963" s="542"/>
      <c r="J963" s="542"/>
      <c r="K963" s="542"/>
      <c r="L963" s="543"/>
      <c r="N963" s="450"/>
    </row>
    <row r="964" spans="2:14" ht="12.75" customHeight="1" x14ac:dyDescent="0.2">
      <c r="B964" s="541" t="s">
        <v>205</v>
      </c>
      <c r="C964" s="542"/>
      <c r="D964" s="542"/>
      <c r="E964" s="542"/>
      <c r="F964" s="542"/>
      <c r="G964" s="542"/>
      <c r="H964" s="542"/>
      <c r="I964" s="542"/>
      <c r="J964" s="542"/>
      <c r="K964" s="542"/>
      <c r="L964" s="543"/>
      <c r="N964" s="451"/>
    </row>
    <row r="965" spans="2:14" ht="49.5" customHeight="1" x14ac:dyDescent="0.2">
      <c r="B965" s="546" t="s">
        <v>251</v>
      </c>
      <c r="C965" s="547"/>
      <c r="D965" s="547"/>
      <c r="E965" s="547"/>
      <c r="F965" s="547"/>
      <c r="G965" s="547"/>
      <c r="H965" s="547"/>
      <c r="I965" s="547"/>
      <c r="J965" s="547"/>
      <c r="K965" s="547"/>
      <c r="L965" s="548"/>
      <c r="N965" s="451"/>
    </row>
    <row r="966" spans="2:14" ht="12.75" customHeight="1" x14ac:dyDescent="0.2">
      <c r="B966" s="150"/>
      <c r="C966" s="151"/>
      <c r="D966" s="151"/>
      <c r="E966" s="151"/>
      <c r="F966" s="151"/>
      <c r="G966" s="151"/>
      <c r="H966" s="151"/>
      <c r="I966" s="151"/>
      <c r="J966" s="151"/>
      <c r="K966" s="151"/>
      <c r="L966" s="152"/>
      <c r="N966" s="451"/>
    </row>
    <row r="967" spans="2:14" ht="63" customHeight="1" x14ac:dyDescent="0.2">
      <c r="B967" s="545" t="s">
        <v>1442</v>
      </c>
      <c r="C967" s="539"/>
      <c r="D967" s="539"/>
      <c r="E967" s="539"/>
      <c r="F967" s="539"/>
      <c r="G967" s="539"/>
      <c r="H967" s="539"/>
      <c r="I967" s="539"/>
      <c r="J967" s="539"/>
      <c r="K967" s="539"/>
      <c r="L967" s="540"/>
      <c r="N967" s="451"/>
    </row>
    <row r="968" spans="2:14" ht="12.75" customHeight="1" x14ac:dyDescent="0.2">
      <c r="B968" s="544"/>
      <c r="C968" s="542"/>
      <c r="D968" s="542"/>
      <c r="E968" s="542"/>
      <c r="F968" s="542"/>
      <c r="G968" s="542"/>
      <c r="H968" s="542"/>
      <c r="I968" s="542"/>
      <c r="J968" s="542"/>
      <c r="K968" s="542"/>
      <c r="L968" s="543"/>
      <c r="N968" s="450"/>
    </row>
    <row r="969" spans="2:14" ht="12.75" customHeight="1" x14ac:dyDescent="0.2">
      <c r="B969" s="541"/>
      <c r="C969" s="542"/>
      <c r="D969" s="542"/>
      <c r="E969" s="542"/>
      <c r="F969" s="542"/>
      <c r="G969" s="542"/>
      <c r="H969" s="542"/>
      <c r="I969" s="542"/>
      <c r="J969" s="542"/>
      <c r="K969" s="542"/>
      <c r="L969" s="543"/>
      <c r="N969" s="450"/>
    </row>
    <row r="970" spans="2:14" ht="30" customHeight="1" x14ac:dyDescent="0.2">
      <c r="B970" s="544" t="s">
        <v>1420</v>
      </c>
      <c r="C970" s="542"/>
      <c r="D970" s="542"/>
      <c r="E970" s="542"/>
      <c r="F970" s="542"/>
      <c r="G970" s="542"/>
      <c r="H970" s="542"/>
      <c r="I970" s="542"/>
      <c r="J970" s="542"/>
      <c r="K970" s="542"/>
      <c r="L970" s="543"/>
      <c r="N970" s="450"/>
    </row>
    <row r="971" spans="2:14" ht="12.75" customHeight="1" x14ac:dyDescent="0.2">
      <c r="B971" s="544" t="s">
        <v>1419</v>
      </c>
      <c r="C971" s="542"/>
      <c r="D971" s="542"/>
      <c r="E971" s="542"/>
      <c r="F971" s="542"/>
      <c r="G971" s="542"/>
      <c r="H971" s="542"/>
      <c r="I971" s="542"/>
      <c r="J971" s="542"/>
      <c r="K971" s="542"/>
      <c r="L971" s="543"/>
      <c r="N971" s="450"/>
    </row>
    <row r="972" spans="2:14" ht="27" customHeight="1" x14ac:dyDescent="0.2">
      <c r="B972" s="604"/>
      <c r="C972" s="605"/>
      <c r="D972" s="605"/>
      <c r="E972" s="605"/>
      <c r="F972" s="605"/>
      <c r="G972" s="605"/>
      <c r="H972" s="605"/>
      <c r="I972" s="605"/>
      <c r="J972" s="605"/>
      <c r="K972" s="605"/>
      <c r="L972" s="606"/>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45" t="s">
        <v>1416</v>
      </c>
      <c r="C974" s="602"/>
      <c r="D974" s="602"/>
      <c r="E974" s="602"/>
      <c r="F974" s="602"/>
      <c r="G974" s="602"/>
      <c r="H974" s="602"/>
      <c r="I974" s="602"/>
      <c r="J974" s="602"/>
      <c r="K974" s="602"/>
      <c r="L974" s="603"/>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75" t="s">
        <v>1094</v>
      </c>
      <c r="E977" s="575"/>
      <c r="F977" s="575"/>
      <c r="G977" s="575"/>
      <c r="H977" s="575" t="s">
        <v>1095</v>
      </c>
      <c r="I977" s="575"/>
      <c r="J977" s="575"/>
      <c r="K977" s="575"/>
      <c r="L977" s="158"/>
    </row>
    <row r="978" spans="2:12" s="78" customFormat="1" ht="21.95" customHeight="1" x14ac:dyDescent="0.2">
      <c r="B978" s="159"/>
      <c r="C978" s="160" t="s">
        <v>87</v>
      </c>
      <c r="D978" s="572"/>
      <c r="E978" s="573"/>
      <c r="F978" s="573"/>
      <c r="G978" s="574"/>
      <c r="H978" s="572"/>
      <c r="I978" s="573"/>
      <c r="J978" s="573"/>
      <c r="K978" s="574"/>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1096</v>
      </c>
      <c r="D980" s="576"/>
      <c r="E980" s="577"/>
      <c r="F980" s="577"/>
      <c r="G980" s="578"/>
      <c r="H980" s="576"/>
      <c r="I980" s="577"/>
      <c r="J980" s="577"/>
      <c r="K980" s="578"/>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72"/>
      <c r="E982" s="573"/>
      <c r="F982" s="573"/>
      <c r="G982" s="574"/>
      <c r="H982" s="572"/>
      <c r="I982" s="573"/>
      <c r="J982" s="573"/>
      <c r="K982" s="574"/>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password="F965" sheet="1" objects="1" scenarios="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56" priority="131" stopIfTrue="1" operator="equal">
      <formula>0</formula>
    </cfRule>
  </conditionalFormatting>
  <conditionalFormatting sqref="L11 L15">
    <cfRule type="expression" dxfId="55" priority="142" stopIfTrue="1">
      <formula>ISERROR(L11)</formula>
    </cfRule>
  </conditionalFormatting>
  <conditionalFormatting sqref="K3">
    <cfRule type="cellIs" dxfId="54" priority="81" operator="equal">
      <formula>""</formula>
    </cfRule>
  </conditionalFormatting>
  <conditionalFormatting sqref="D11:K11">
    <cfRule type="cellIs" dxfId="53" priority="80" operator="equal">
      <formula>""</formula>
    </cfRule>
  </conditionalFormatting>
  <conditionalFormatting sqref="D15:K15">
    <cfRule type="cellIs" dxfId="52" priority="79" operator="equal">
      <formula>""</formula>
    </cfRule>
  </conditionalFormatting>
  <conditionalFormatting sqref="D20:K20">
    <cfRule type="cellIs" dxfId="51" priority="78" operator="equal">
      <formula>""</formula>
    </cfRule>
  </conditionalFormatting>
  <conditionalFormatting sqref="K694">
    <cfRule type="cellIs" dxfId="50" priority="77" operator="greaterThan">
      <formula>$K$695</formula>
    </cfRule>
  </conditionalFormatting>
  <conditionalFormatting sqref="K690">
    <cfRule type="cellIs" dxfId="49" priority="76" operator="notBetween">
      <formula>$K$696</formula>
      <formula>$K$697</formula>
    </cfRule>
  </conditionalFormatting>
  <conditionalFormatting sqref="K686">
    <cfRule type="cellIs" dxfId="48" priority="75" operator="greaterThan">
      <formula>$K$698</formula>
    </cfRule>
  </conditionalFormatting>
  <conditionalFormatting sqref="K693">
    <cfRule type="cellIs" dxfId="47" priority="74" operator="greaterThan">
      <formula>0.15</formula>
    </cfRule>
  </conditionalFormatting>
  <conditionalFormatting sqref="D66:K67">
    <cfRule type="cellIs" dxfId="46" priority="73" operator="equal">
      <formula>""</formula>
    </cfRule>
  </conditionalFormatting>
  <conditionalFormatting sqref="G71:K71">
    <cfRule type="expression" dxfId="45" priority="52">
      <formula>AND(sector="",sector_specified&lt;&gt;"")</formula>
    </cfRule>
    <cfRule type="cellIs" dxfId="44" priority="72" operator="equal">
      <formula>""</formula>
    </cfRule>
  </conditionalFormatting>
  <conditionalFormatting sqref="C218:K218">
    <cfRule type="cellIs" dxfId="43" priority="70" operator="equal">
      <formula>""</formula>
    </cfRule>
  </conditionalFormatting>
  <conditionalFormatting sqref="C221:G221">
    <cfRule type="expression" dxfId="42" priority="69">
      <formula>AND($C218&lt;&gt;"",$C221="")</formula>
    </cfRule>
  </conditionalFormatting>
  <conditionalFormatting sqref="N23">
    <cfRule type="expression" dxfId="41" priority="60">
      <formula>COUNTIF($D$20,$D$20:$K$29)&gt;1</formula>
    </cfRule>
  </conditionalFormatting>
  <conditionalFormatting sqref="N20">
    <cfRule type="expression" dxfId="40" priority="57">
      <formula>COUNTIF($D$20,$D$20:$K$29)&gt;1</formula>
    </cfRule>
  </conditionalFormatting>
  <conditionalFormatting sqref="N26">
    <cfRule type="expression" dxfId="39" priority="56">
      <formula>COUNTIF($D$20,$D$20:$K$29)&gt;1</formula>
    </cfRule>
  </conditionalFormatting>
  <conditionalFormatting sqref="N29">
    <cfRule type="expression" dxfId="38" priority="55">
      <formula>COUNTIF($D$20,$D$20:$K$29)&gt;1</formula>
    </cfRule>
  </conditionalFormatting>
  <conditionalFormatting sqref="F47:K47">
    <cfRule type="expression" dxfId="37" priority="54">
      <formula>AND(region_seat="",district_seat&lt;&gt;"")</formula>
    </cfRule>
  </conditionalFormatting>
  <conditionalFormatting sqref="F35:K35">
    <cfRule type="expression" dxfId="36" priority="53">
      <formula>AND(region="",district&lt;&gt;"")</formula>
    </cfRule>
  </conditionalFormatting>
  <conditionalFormatting sqref="C273:G273">
    <cfRule type="expression" dxfId="35" priority="47">
      <formula>AND(LEN($C$247)&gt;0,COUNTIF($D$20:$D$29,output_relates_activity2)=0)</formula>
    </cfRule>
    <cfRule type="expression" dxfId="34" priority="48">
      <formula>AND($C270&lt;&gt;"",$C273="")</formula>
    </cfRule>
  </conditionalFormatting>
  <conditionalFormatting sqref="F687">
    <cfRule type="expression" dxfId="33" priority="33">
      <formula>AND(sector=nonprofit_sector_verification_title,sector_specified&lt;&gt;churches_verification_title)</formula>
    </cfRule>
  </conditionalFormatting>
  <conditionalFormatting sqref="G73:K73">
    <cfRule type="cellIs" dxfId="32" priority="26" operator="equal">
      <formula>""</formula>
    </cfRule>
  </conditionalFormatting>
  <conditionalFormatting sqref="D590:E590">
    <cfRule type="expression" dxfId="31" priority="25">
      <formula>$D$566=""</formula>
    </cfRule>
  </conditionalFormatting>
  <conditionalFormatting sqref="D591:E591">
    <cfRule type="expression" dxfId="30" priority="24">
      <formula>$D$566=""</formula>
    </cfRule>
  </conditionalFormatting>
  <conditionalFormatting sqref="F590:G590">
    <cfRule type="expression" dxfId="29" priority="23">
      <formula>$F$566=""</formula>
    </cfRule>
  </conditionalFormatting>
  <conditionalFormatting sqref="F591:G591">
    <cfRule type="expression" dxfId="28" priority="22">
      <formula>$F$566=""</formula>
    </cfRule>
  </conditionalFormatting>
  <conditionalFormatting sqref="H590:I590">
    <cfRule type="expression" dxfId="27" priority="21">
      <formula>$H$566=""</formula>
    </cfRule>
  </conditionalFormatting>
  <conditionalFormatting sqref="H591:I591">
    <cfRule type="expression" dxfId="26" priority="20">
      <formula>$H$566=""</formula>
    </cfRule>
  </conditionalFormatting>
  <conditionalFormatting sqref="J590:K590">
    <cfRule type="expression" dxfId="25" priority="19">
      <formula>$J$566=""</formula>
    </cfRule>
  </conditionalFormatting>
  <conditionalFormatting sqref="J591:K591">
    <cfRule type="expression" dxfId="24" priority="18">
      <formula>$J$566=""</formula>
    </cfRule>
  </conditionalFormatting>
  <conditionalFormatting sqref="D592:E592">
    <cfRule type="expression" dxfId="23" priority="17">
      <formula>AND(grant_requested_partner1&gt;0,$D$592="")</formula>
    </cfRule>
  </conditionalFormatting>
  <conditionalFormatting sqref="F592:G592">
    <cfRule type="expression" dxfId="22" priority="16">
      <formula>AND(grant_requested_partner2&gt;0,$F$592="")</formula>
    </cfRule>
  </conditionalFormatting>
  <conditionalFormatting sqref="H592:I592">
    <cfRule type="expression" dxfId="21" priority="15">
      <formula>AND(grant_requested_partner3&gt;0,$H$592="")</formula>
    </cfRule>
  </conditionalFormatting>
  <conditionalFormatting sqref="J592:K592">
    <cfRule type="expression" dxfId="20" priority="14">
      <formula>AND(grant_requested_partner4&gt;0,$J$592="")</formula>
    </cfRule>
  </conditionalFormatting>
  <conditionalFormatting sqref="G687">
    <cfRule type="expression" dxfId="19" priority="12">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8" priority="10">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7" priority="9">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16" priority="8">
      <formula>AND(sector=nonprofit_sector_verification_title,sector_specified&lt;&gt;churches_verification_title,partner4_sector=nonprofit_sector_verification_title,partner4_sector_specified&lt;&gt;churches_verification_title,INT(I687)=I687)</formula>
    </cfRule>
  </conditionalFormatting>
  <conditionalFormatting sqref="C247:G247">
    <cfRule type="expression" dxfId="15" priority="7">
      <formula>AND($C244&lt;&gt;"",$C247="")</formula>
    </cfRule>
  </conditionalFormatting>
  <conditionalFormatting sqref="C275:G275">
    <cfRule type="expression" dxfId="14" priority="6">
      <formula>AND($C272&lt;&gt;"",$C275="")</formula>
    </cfRule>
  </conditionalFormatting>
  <conditionalFormatting sqref="C301:G301">
    <cfRule type="expression" dxfId="13" priority="5">
      <formula>AND($C298&lt;&gt;"",$C301="")</formula>
    </cfRule>
  </conditionalFormatting>
  <conditionalFormatting sqref="C330:G330">
    <cfRule type="expression" dxfId="12" priority="4">
      <formula>AND($C327&lt;&gt;"",$C330="")</formula>
    </cfRule>
  </conditionalFormatting>
  <conditionalFormatting sqref="C356:G356">
    <cfRule type="expression" dxfId="11" priority="3">
      <formula>AND($C353&lt;&gt;"",$C356="")</formula>
    </cfRule>
  </conditionalFormatting>
  <conditionalFormatting sqref="C385:G385">
    <cfRule type="expression" dxfId="10" priority="2">
      <formula>AND($C382&lt;&gt;"",$C385="")</formula>
    </cfRule>
  </conditionalFormatting>
  <conditionalFormatting sqref="C411:G411">
    <cfRule type="expression" dxfId="9" priority="1">
      <formula>AND($C408&lt;&gt;"",$C411="")</formula>
    </cfRule>
  </conditionalFormatting>
  <dataValidations count="87">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385:G385 C247:G247 C275:G275 C301:G301 C330:G330 C356:G356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allowBlank="1" showInputMessage="1" showErrorMessage="1" errorTitle="Nesprávne zadanie/Invalid Entry" error="Only integers allowed. The minimum value is 0, maximum is 0._x000a_Povolené sú len celé čísla. Minimálna hodnota je 0, maximálna 1." sqref="H445 H460">
      <formula1>0</formula1>
      <formula2>1</formula2>
    </dataValidation>
    <dataValidation type="whole" allowBlank="1" showInputMessage="1" showErrorMessage="1" errorTitle="Nesprávne zadanie/Invalid Entry" error="Only integers allowed. The minimum value is 1._x000a_Povolené sú len celé čísla. Minimálna hodnota je 1." sqref="H441:H444 H458:H459 H480:H485">
      <formula1>1</formula1>
      <formula2>100</formula2>
    </dataValidation>
    <dataValidation type="whole" allowBlank="1" showInputMessage="1" showErrorMessage="1" errorTitle="Nesprávne zadanie/Invalid Entry" error="Only integers allowed. The minimum value is 1._x000a_Povolené sú len celé čísla. Minimálna hodnota je 1." sqref="H470:H476">
      <formula1>1</formula1>
      <formula2>1000000000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1443</v>
      </c>
      <c r="C1" s="282"/>
      <c r="D1" s="282"/>
      <c r="E1" s="282"/>
      <c r="F1" s="282"/>
      <c r="G1" s="282"/>
      <c r="H1" s="282"/>
      <c r="I1" s="282"/>
      <c r="J1" s="282"/>
      <c r="K1" s="282"/>
      <c r="L1" s="281"/>
      <c r="M1" s="281"/>
      <c r="N1" s="281"/>
      <c r="O1" s="281"/>
      <c r="P1" s="281"/>
    </row>
    <row r="2" spans="1:16" s="280" customFormat="1" ht="9.75" customHeight="1" x14ac:dyDescent="0.2">
      <c r="A2" s="348"/>
      <c r="B2" s="349" t="s">
        <v>1097</v>
      </c>
      <c r="C2" s="350">
        <f>applicant_name</f>
        <v>0</v>
      </c>
      <c r="D2" s="349"/>
      <c r="E2" s="349"/>
      <c r="F2" s="349"/>
      <c r="G2" s="351"/>
      <c r="H2" s="350"/>
      <c r="I2" s="350" t="s">
        <v>1444</v>
      </c>
      <c r="J2" s="352">
        <f>SUM(Amount_Column)</f>
        <v>0</v>
      </c>
      <c r="K2" s="359"/>
      <c r="L2" s="279"/>
      <c r="M2" s="279"/>
      <c r="N2" s="279"/>
      <c r="O2" s="279"/>
      <c r="P2" s="279"/>
    </row>
    <row r="3" spans="1:16" s="280" customFormat="1" ht="9.75" customHeight="1" x14ac:dyDescent="0.2">
      <c r="A3" s="353"/>
      <c r="B3" s="278" t="s">
        <v>1360</v>
      </c>
      <c r="C3" s="280">
        <f>partner1_name</f>
        <v>0</v>
      </c>
      <c r="D3" s="278"/>
      <c r="E3" s="278"/>
      <c r="F3" s="278"/>
      <c r="H3" s="279"/>
      <c r="I3" s="279" t="s">
        <v>1098</v>
      </c>
      <c r="J3" s="347">
        <f>amount_indirect_costs</f>
        <v>0</v>
      </c>
      <c r="K3" s="360"/>
      <c r="L3" s="279"/>
      <c r="M3" s="279"/>
      <c r="N3" s="279"/>
      <c r="O3" s="279"/>
      <c r="P3" s="279"/>
    </row>
    <row r="4" spans="1:16" s="280" customFormat="1" ht="9.75" customHeight="1" x14ac:dyDescent="0.2">
      <c r="A4" s="353"/>
      <c r="B4" s="278" t="s">
        <v>1359</v>
      </c>
      <c r="C4" s="280">
        <f>partner2_name</f>
        <v>0</v>
      </c>
      <c r="D4" s="278"/>
      <c r="E4" s="278"/>
      <c r="F4" s="278"/>
      <c r="H4" s="279"/>
      <c r="I4" s="279" t="s">
        <v>1099</v>
      </c>
      <c r="J4" s="347">
        <f>reserve_total</f>
        <v>0</v>
      </c>
      <c r="K4" s="360"/>
      <c r="L4" s="279"/>
      <c r="M4" s="279"/>
      <c r="N4" s="279"/>
      <c r="O4" s="279"/>
      <c r="P4" s="279"/>
    </row>
    <row r="5" spans="1:16" s="280" customFormat="1" ht="9.75" customHeight="1" x14ac:dyDescent="0.2">
      <c r="A5" s="353"/>
      <c r="B5" s="278" t="s">
        <v>1358</v>
      </c>
      <c r="C5" s="280">
        <f>partner3_name</f>
        <v>0</v>
      </c>
      <c r="D5" s="278"/>
      <c r="E5" s="278"/>
      <c r="F5" s="278"/>
      <c r="H5" s="279"/>
      <c r="I5" s="279" t="s">
        <v>1100</v>
      </c>
      <c r="J5" s="347">
        <f>in_kind_total</f>
        <v>0</v>
      </c>
      <c r="K5" s="360"/>
      <c r="L5" s="279"/>
      <c r="M5" s="279"/>
      <c r="N5" s="279"/>
      <c r="O5" s="279"/>
      <c r="P5" s="279"/>
    </row>
    <row r="6" spans="1:16" s="280" customFormat="1" ht="9.75" customHeight="1" x14ac:dyDescent="0.2">
      <c r="A6" s="354"/>
      <c r="B6" s="355" t="s">
        <v>1357</v>
      </c>
      <c r="C6" s="280">
        <f>partner4_name</f>
        <v>0</v>
      </c>
      <c r="D6" s="355"/>
      <c r="E6" s="355"/>
      <c r="F6" s="355"/>
      <c r="G6" s="357"/>
      <c r="H6" s="356"/>
      <c r="I6" s="356" t="s">
        <v>1101</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490</v>
      </c>
      <c r="C9" s="199" t="s">
        <v>257</v>
      </c>
      <c r="D9" s="199" t="s">
        <v>491</v>
      </c>
      <c r="E9" s="199" t="s">
        <v>492</v>
      </c>
      <c r="F9" s="199" t="s">
        <v>493</v>
      </c>
      <c r="G9" s="199" t="s">
        <v>554</v>
      </c>
      <c r="H9" s="199" t="s">
        <v>494</v>
      </c>
      <c r="I9" s="199" t="s">
        <v>1411</v>
      </c>
      <c r="J9" s="199" t="s">
        <v>495</v>
      </c>
      <c r="K9" s="199" t="s">
        <v>496</v>
      </c>
      <c r="L9" s="448" t="s">
        <v>1356</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G7" sqref="G7"/>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514</v>
      </c>
      <c r="B1" s="292"/>
      <c r="C1" s="293"/>
      <c r="D1" s="293"/>
      <c r="E1" s="293"/>
      <c r="F1" s="293"/>
      <c r="G1" s="293"/>
      <c r="H1" s="294" t="s">
        <v>515</v>
      </c>
      <c r="I1" s="294" t="s">
        <v>1109</v>
      </c>
      <c r="J1" s="222"/>
      <c r="K1" s="222"/>
      <c r="L1" s="223"/>
      <c r="M1" s="222"/>
      <c r="N1" s="222"/>
      <c r="O1" s="222"/>
      <c r="P1" s="222"/>
    </row>
    <row r="2" spans="1:16" s="295" customFormat="1" ht="28.5" customHeight="1" thickBot="1" x14ac:dyDescent="0.25">
      <c r="A2" s="296" t="s">
        <v>516</v>
      </c>
      <c r="B2" s="685" t="s">
        <v>516</v>
      </c>
      <c r="C2" s="686"/>
      <c r="D2" s="686"/>
      <c r="E2" s="686"/>
      <c r="F2" s="686"/>
      <c r="G2" s="687"/>
      <c r="H2" s="297">
        <f>SUMIF($F$13:$F$21,B2,$H$13:$H$21)</f>
        <v>0</v>
      </c>
      <c r="I2" s="362" t="e">
        <f>H2/H$10</f>
        <v>#DIV/0!</v>
      </c>
      <c r="J2" s="222"/>
      <c r="K2" s="222"/>
      <c r="L2" s="223"/>
      <c r="M2" s="222"/>
      <c r="N2" s="222"/>
      <c r="O2" s="222"/>
      <c r="P2" s="222"/>
    </row>
    <row r="3" spans="1:16" s="295" customFormat="1" ht="28.5" customHeight="1" thickBot="1" x14ac:dyDescent="0.25">
      <c r="A3" s="296" t="s">
        <v>517</v>
      </c>
      <c r="B3" s="688" t="str">
        <f>IF(ISBLANK(programme_output1),"",programme_output1)</f>
        <v>Cultural heritage restored and revitalised</v>
      </c>
      <c r="C3" s="689"/>
      <c r="D3" s="689"/>
      <c r="E3" s="689"/>
      <c r="F3" s="689"/>
      <c r="G3" s="690"/>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518</v>
      </c>
      <c r="B4" s="688" t="str">
        <f>IF(ISBLANK(programme_output2),"",programme_output2)</f>
        <v/>
      </c>
      <c r="C4" s="689"/>
      <c r="D4" s="689"/>
      <c r="E4" s="689"/>
      <c r="F4" s="689"/>
      <c r="G4" s="690"/>
      <c r="H4" s="297">
        <f t="shared" si="0"/>
        <v>0</v>
      </c>
      <c r="I4" s="362" t="e">
        <f t="shared" si="1"/>
        <v>#DIV/0!</v>
      </c>
      <c r="J4" s="222"/>
      <c r="K4" s="222"/>
      <c r="L4" s="223"/>
      <c r="M4" s="222"/>
      <c r="N4" s="222"/>
      <c r="O4" s="222"/>
      <c r="P4" s="222"/>
    </row>
    <row r="5" spans="1:16" s="295" customFormat="1" ht="28.5" customHeight="1" thickBot="1" x14ac:dyDescent="0.25">
      <c r="A5" s="296" t="s">
        <v>519</v>
      </c>
      <c r="B5" s="688" t="str">
        <f>IF(ISBLANK(programme_output3),"",programme_output3)</f>
        <v/>
      </c>
      <c r="C5" s="689"/>
      <c r="D5" s="689"/>
      <c r="E5" s="689"/>
      <c r="F5" s="689"/>
      <c r="G5" s="690"/>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1445</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520</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1114</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1115</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1116</v>
      </c>
      <c r="H10" s="302">
        <f>SUM(H6:H9)</f>
        <v>0</v>
      </c>
      <c r="I10" s="224" t="s">
        <v>521</v>
      </c>
      <c r="J10" s="222"/>
      <c r="K10" s="222"/>
      <c r="L10" s="223"/>
      <c r="M10" s="222"/>
      <c r="N10" s="222"/>
      <c r="O10" s="222"/>
      <c r="P10" s="222"/>
    </row>
    <row r="11" spans="1:16" s="295" customFormat="1" ht="28.5" customHeight="1" x14ac:dyDescent="0.2">
      <c r="A11" s="298"/>
      <c r="B11" s="293"/>
      <c r="C11" s="293"/>
      <c r="D11" s="410"/>
      <c r="E11" s="293"/>
      <c r="F11" s="293"/>
      <c r="G11" s="293"/>
      <c r="H11" s="303"/>
      <c r="I11" s="222"/>
      <c r="J11" s="222"/>
      <c r="K11" s="222"/>
      <c r="L11" s="223"/>
      <c r="M11" s="222"/>
      <c r="N11" s="222"/>
      <c r="O11" s="222"/>
      <c r="P11" s="222"/>
    </row>
    <row r="12" spans="1:16" s="295" customFormat="1" ht="28.5" customHeight="1" thickBot="1" x14ac:dyDescent="0.25">
      <c r="A12" s="291" t="s">
        <v>522</v>
      </c>
      <c r="B12" s="292"/>
      <c r="C12" s="293"/>
      <c r="D12" s="293"/>
      <c r="E12" s="293"/>
      <c r="F12" s="293"/>
      <c r="G12" s="294" t="s">
        <v>523</v>
      </c>
      <c r="H12" s="294" t="s">
        <v>515</v>
      </c>
      <c r="I12" s="294" t="s">
        <v>1109</v>
      </c>
      <c r="J12" s="294" t="s">
        <v>1355</v>
      </c>
      <c r="K12" s="222"/>
      <c r="L12" s="223"/>
      <c r="M12" s="222"/>
      <c r="N12" s="222"/>
      <c r="O12" s="222"/>
      <c r="P12" s="222"/>
    </row>
    <row r="13" spans="1:16" s="295" customFormat="1" ht="28.5" customHeight="1" thickBot="1" x14ac:dyDescent="0.25">
      <c r="A13" s="296" t="s">
        <v>516</v>
      </c>
      <c r="B13" s="372" t="s">
        <v>516</v>
      </c>
      <c r="C13" s="373"/>
      <c r="D13" s="373"/>
      <c r="E13" s="408"/>
      <c r="F13" s="697" t="s">
        <v>516</v>
      </c>
      <c r="G13" s="694"/>
      <c r="H13" s="304">
        <f t="array" ref="H13">SUM(IF(B13="",0,IF(Activities_Column=A13,Amount_Column,0)))</f>
        <v>0</v>
      </c>
      <c r="I13" s="362" t="e">
        <f>H13/H$26</f>
        <v>#DIV/0!</v>
      </c>
      <c r="J13" s="411" t="str">
        <f>B13</f>
        <v>Project Management</v>
      </c>
      <c r="K13" s="222"/>
      <c r="L13" s="223"/>
      <c r="M13" s="222"/>
      <c r="N13" s="222"/>
      <c r="O13" s="222"/>
      <c r="P13" s="222"/>
    </row>
    <row r="14" spans="1:16" s="295" customFormat="1" ht="28.5" customHeight="1" thickBot="1" x14ac:dyDescent="0.25">
      <c r="A14" s="296" t="s">
        <v>524</v>
      </c>
      <c r="B14" s="367" t="str">
        <f>IF(ISBLANK(Activity1_Name),"",Activity1_Name)</f>
        <v>Restoration of Cultural Monuments</v>
      </c>
      <c r="C14" s="306"/>
      <c r="D14" s="306"/>
      <c r="E14" s="409"/>
      <c r="F14" s="693" t="str">
        <f>output_relates_activity1</f>
        <v>Cultural heritage restored and revitalised</v>
      </c>
      <c r="G14" s="694"/>
      <c r="H14" s="304">
        <f t="array" ref="H14">SUM(IF(B14="",0,IF(Activities_Column=A14,Amount_Column,0)))</f>
        <v>0</v>
      </c>
      <c r="I14" s="362" t="e">
        <f t="shared" ref="I14:I21" si="2">H14/H$26</f>
        <v>#DIV/0!</v>
      </c>
      <c r="J14" s="411" t="str">
        <f t="array" ref="J14">IFERROR(INDEX($A$13:$A$21,SMALL(IF(LEN($B$13:$B$21)&gt;2,ROW($A$1:$A$9),""),ROW(B2))),"")</f>
        <v>Activity1</v>
      </c>
      <c r="K14" s="222"/>
      <c r="L14" s="223"/>
      <c r="M14" s="222"/>
      <c r="N14" s="222"/>
      <c r="O14" s="222"/>
      <c r="P14" s="222"/>
    </row>
    <row r="15" spans="1:16" s="295" customFormat="1" ht="28.5" customHeight="1" thickBot="1" x14ac:dyDescent="0.25">
      <c r="A15" s="296" t="s">
        <v>525</v>
      </c>
      <c r="B15" s="367" t="str">
        <f>IF(ISBLANK(Activity2_Name),"",Activity2_Name)</f>
        <v/>
      </c>
      <c r="C15" s="306"/>
      <c r="D15" s="306"/>
      <c r="E15" s="409"/>
      <c r="F15" s="695" t="str">
        <f>output_relates_activity2</f>
        <v>Cultural heritage restored and revitalised</v>
      </c>
      <c r="G15" s="696"/>
      <c r="H15" s="304">
        <f t="array" ref="H15">SUM(IF(B15="",0,IF(Activities_Column=A15,Amount_Column,0)))</f>
        <v>0</v>
      </c>
      <c r="I15" s="362" t="e">
        <f t="shared" si="2"/>
        <v>#DIV/0!</v>
      </c>
      <c r="J15" s="411" t="str">
        <f t="array" ref="J15">IFERROR(INDEX($A$13:$A$21,SMALL(IF(LEN($B$13:$B$21)&gt;2,ROW($A$1:$A$9),""),ROW(B3))),"")</f>
        <v/>
      </c>
      <c r="K15" s="222"/>
      <c r="L15" s="223"/>
      <c r="M15" s="222"/>
      <c r="N15" s="222"/>
      <c r="O15" s="222"/>
      <c r="P15" s="222"/>
    </row>
    <row r="16" spans="1:16" s="295" customFormat="1" ht="28.5" customHeight="1" thickBot="1" x14ac:dyDescent="0.25">
      <c r="A16" s="296" t="s">
        <v>526</v>
      </c>
      <c r="B16" s="367" t="str">
        <f>IF(ISBLANK(Activity3_Name),"",Activity3_Name)</f>
        <v/>
      </c>
      <c r="C16" s="306"/>
      <c r="D16" s="306"/>
      <c r="E16" s="409"/>
      <c r="F16" s="695" t="str">
        <f>output_relates_activity3</f>
        <v>Cultural heritage restored and revitalised</v>
      </c>
      <c r="G16" s="696"/>
      <c r="H16" s="304">
        <f t="array" ref="H16">SUM(IF(B16="",0,IF(Activities_Column=A16,Amount_Column,0)))</f>
        <v>0</v>
      </c>
      <c r="I16" s="362" t="e">
        <f t="shared" si="2"/>
        <v>#DIV/0!</v>
      </c>
      <c r="J16" s="411" t="str">
        <f t="array" ref="J16">IFERROR(INDEX($A$13:$A$21,SMALL(IF(LEN($B$13:$B$21)&gt;2,ROW($A$1:$A$9),""),ROW(B4))),"")</f>
        <v/>
      </c>
      <c r="K16" s="222"/>
      <c r="L16" s="223"/>
      <c r="M16" s="222"/>
      <c r="N16" s="222"/>
      <c r="O16" s="222"/>
      <c r="P16" s="222"/>
    </row>
    <row r="17" spans="1:16" s="295" customFormat="1" ht="28.5" customHeight="1" thickBot="1" x14ac:dyDescent="0.25">
      <c r="A17" s="296" t="s">
        <v>527</v>
      </c>
      <c r="B17" s="367" t="str">
        <f>IF(ISBLANK(Activity4_Name),"",Activity4_Name)</f>
        <v/>
      </c>
      <c r="C17" s="306"/>
      <c r="D17" s="306"/>
      <c r="E17" s="409"/>
      <c r="F17" s="695" t="str">
        <f>output_relates_activity4</f>
        <v>Cultural heritage restored and revitalised</v>
      </c>
      <c r="G17" s="696"/>
      <c r="H17" s="304">
        <f t="array" ref="H17">SUM(IF(B17="",0,IF(Activities_Column=A17,Amount_Column,0)))</f>
        <v>0</v>
      </c>
      <c r="I17" s="362" t="e">
        <f t="shared" si="2"/>
        <v>#DIV/0!</v>
      </c>
      <c r="J17" s="411" t="str">
        <f t="array" ref="J17">IFERROR(INDEX($A$13:$A$21,SMALL(IF(LEN($B$13:$B$21)&gt;2,ROW($A$1:$A$9),""),ROW(B5))),"")</f>
        <v/>
      </c>
      <c r="K17" s="222"/>
      <c r="L17" s="223"/>
      <c r="M17" s="222"/>
      <c r="N17" s="222"/>
      <c r="O17" s="222"/>
      <c r="P17" s="222"/>
    </row>
    <row r="18" spans="1:16" s="295" customFormat="1" ht="28.5" customHeight="1" thickBot="1" x14ac:dyDescent="0.25">
      <c r="A18" s="296" t="s">
        <v>528</v>
      </c>
      <c r="B18" s="367" t="str">
        <f>IF(ISBLANK(Activity5_Name),"",Activity5_Name)</f>
        <v/>
      </c>
      <c r="C18" s="306"/>
      <c r="D18" s="306"/>
      <c r="E18" s="409"/>
      <c r="F18" s="695" t="str">
        <f>output_relates_activity5</f>
        <v>Cultural heritage restored and revitalised</v>
      </c>
      <c r="G18" s="696"/>
      <c r="H18" s="304">
        <f t="array" ref="H18">SUM(IF(B18="",0,IF(Activities_Column=A18,Amount_Column,0)))</f>
        <v>0</v>
      </c>
      <c r="I18" s="362" t="e">
        <f t="shared" si="2"/>
        <v>#DIV/0!</v>
      </c>
      <c r="J18" s="411" t="str">
        <f t="array" ref="J18">IFERROR(INDEX($A$13:$A$21,SMALL(IF(LEN($B$13:$B$21)&gt;2,ROW($A$1:$A$9),""),ROW(B6))),"")</f>
        <v/>
      </c>
      <c r="K18" s="222"/>
      <c r="L18" s="223"/>
      <c r="M18" s="222"/>
      <c r="N18" s="222"/>
      <c r="O18" s="222"/>
      <c r="P18" s="222"/>
    </row>
    <row r="19" spans="1:16" s="295" customFormat="1" ht="28.5" customHeight="1" thickBot="1" x14ac:dyDescent="0.25">
      <c r="A19" s="296" t="s">
        <v>529</v>
      </c>
      <c r="B19" s="367" t="str">
        <f>IF(ISBLANK(Activity6_Name),"",Activity6_Name)</f>
        <v/>
      </c>
      <c r="C19" s="306"/>
      <c r="D19" s="306"/>
      <c r="E19" s="409"/>
      <c r="F19" s="695" t="str">
        <f>output_relates_activity6</f>
        <v>Cultural heritage restored and revitalised</v>
      </c>
      <c r="G19" s="696"/>
      <c r="H19" s="304">
        <f t="array" ref="H19">SUM(IF(B19="",0,IF(Activities_Column=A19,Amount_Column,0)))</f>
        <v>0</v>
      </c>
      <c r="I19" s="362" t="e">
        <f t="shared" si="2"/>
        <v>#DIV/0!</v>
      </c>
      <c r="J19" s="411" t="str">
        <f t="array" ref="J19">IFERROR(INDEX($A$13:$A$21,SMALL(IF(LEN($B$13:$B$21)&gt;2,ROW($A$1:$A$9),""),ROW(B7))),"")</f>
        <v/>
      </c>
      <c r="K19" s="222"/>
      <c r="L19" s="223"/>
      <c r="M19" s="222"/>
      <c r="N19" s="222"/>
      <c r="O19" s="222"/>
      <c r="P19" s="222"/>
    </row>
    <row r="20" spans="1:16" s="295" customFormat="1" ht="28.5" customHeight="1" thickBot="1" x14ac:dyDescent="0.25">
      <c r="A20" s="296" t="s">
        <v>530</v>
      </c>
      <c r="B20" s="367" t="str">
        <f>IF(ISBLANK(Activity7_Name),"",Activity7_Name)</f>
        <v/>
      </c>
      <c r="C20" s="306"/>
      <c r="D20" s="306"/>
      <c r="E20" s="409"/>
      <c r="F20" s="695" t="str">
        <f>output_relates_activity7</f>
        <v>Cultural heritage restored and revitalised</v>
      </c>
      <c r="G20" s="696"/>
      <c r="H20" s="304">
        <f t="array" ref="H20">SUM(IF(B20="",0,IF(Activities_Column=A20,Amount_Column,0)))</f>
        <v>0</v>
      </c>
      <c r="I20" s="362" t="e">
        <f t="shared" si="2"/>
        <v>#DIV/0!</v>
      </c>
      <c r="J20" s="411" t="str">
        <f t="array" ref="J20">IFERROR(INDEX($A$13:$A$21,SMALL(IF(LEN($B$13:$B$21)&gt;2,ROW($A$1:$A$9),""),ROW(B8))),"")</f>
        <v/>
      </c>
      <c r="K20" s="222"/>
      <c r="L20" s="223"/>
      <c r="M20" s="222"/>
      <c r="N20" s="222"/>
      <c r="O20" s="222"/>
      <c r="P20" s="222"/>
    </row>
    <row r="21" spans="1:16" s="295" customFormat="1" ht="28.5" customHeight="1" thickBot="1" x14ac:dyDescent="0.25">
      <c r="A21" s="296" t="s">
        <v>531</v>
      </c>
      <c r="B21" s="367" t="str">
        <f>IF(ISBLANK(Activity8_Name),"",Activity8_Name)</f>
        <v/>
      </c>
      <c r="C21" s="306"/>
      <c r="D21" s="306"/>
      <c r="E21" s="409"/>
      <c r="F21" s="695" t="str">
        <f>output_relates_activity8</f>
        <v>Cultural heritage restored and revitalised</v>
      </c>
      <c r="G21" s="696"/>
      <c r="H21" s="304">
        <f t="array" ref="H21">SUM(IF(B21="",0,IF(Activities_Column=A21,Amount_Column,0)))</f>
        <v>0</v>
      </c>
      <c r="I21" s="362" t="e">
        <f t="shared" si="2"/>
        <v>#DIV/0!</v>
      </c>
      <c r="J21" s="411"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1445</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520</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1114</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1115</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1116</v>
      </c>
      <c r="H26" s="302">
        <f>SUM(H22:H25)</f>
        <v>0</v>
      </c>
      <c r="I26" s="224" t="s">
        <v>1190</v>
      </c>
      <c r="J26" s="222"/>
      <c r="K26" s="222"/>
      <c r="L26" s="223"/>
      <c r="M26" s="222"/>
      <c r="N26" s="222"/>
      <c r="O26" s="222"/>
      <c r="P26" s="222"/>
    </row>
    <row r="27" spans="1:16" ht="28.5" customHeight="1" x14ac:dyDescent="0.2"/>
    <row r="28" spans="1:16" s="295" customFormat="1" ht="42" customHeight="1" thickBot="1" x14ac:dyDescent="0.25">
      <c r="A28" s="291" t="s">
        <v>532</v>
      </c>
      <c r="B28" s="292"/>
      <c r="C28" s="293"/>
      <c r="D28" s="293"/>
      <c r="E28" s="293"/>
      <c r="F28" s="293"/>
      <c r="G28" s="294"/>
      <c r="H28" s="294" t="s">
        <v>515</v>
      </c>
      <c r="I28" s="294" t="s">
        <v>1109</v>
      </c>
      <c r="J28" s="294" t="s">
        <v>1111</v>
      </c>
      <c r="K28" s="294" t="s">
        <v>1110</v>
      </c>
      <c r="L28" s="223"/>
      <c r="M28" s="222"/>
      <c r="N28" s="222"/>
      <c r="O28" s="222"/>
      <c r="P28" s="222"/>
    </row>
    <row r="29" spans="1:16" s="295" customFormat="1" ht="28.5" customHeight="1" thickBot="1" x14ac:dyDescent="0.25">
      <c r="A29" s="296" t="s">
        <v>533</v>
      </c>
      <c r="B29" s="305" t="s">
        <v>1125</v>
      </c>
      <c r="C29" s="305"/>
      <c r="D29" s="306"/>
      <c r="E29" s="308" t="s">
        <v>534</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535</v>
      </c>
      <c r="B30" s="305" t="s">
        <v>1422</v>
      </c>
      <c r="C30" s="306"/>
      <c r="D30" s="306"/>
      <c r="E30" s="308" t="s">
        <v>486</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536</v>
      </c>
      <c r="B31" s="305" t="s">
        <v>1124</v>
      </c>
      <c r="C31" s="306"/>
      <c r="D31" s="306"/>
      <c r="E31" s="308" t="s">
        <v>537</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538</v>
      </c>
      <c r="B32" s="305" t="s">
        <v>476</v>
      </c>
      <c r="C32" s="306"/>
      <c r="D32" s="306"/>
      <c r="E32" s="308" t="s">
        <v>539</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540</v>
      </c>
      <c r="B33" s="305" t="s">
        <v>477</v>
      </c>
      <c r="C33" s="306"/>
      <c r="D33" s="306"/>
      <c r="E33" s="308" t="s">
        <v>541</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542</v>
      </c>
      <c r="B34" s="305" t="s">
        <v>1123</v>
      </c>
      <c r="C34" s="306"/>
      <c r="D34" s="306"/>
      <c r="E34" s="308" t="s">
        <v>543</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544</v>
      </c>
      <c r="B35" s="305" t="s">
        <v>1126</v>
      </c>
      <c r="C35" s="306"/>
      <c r="D35" s="306"/>
      <c r="E35" s="308" t="s">
        <v>545</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546</v>
      </c>
      <c r="B36" s="305" t="s">
        <v>478</v>
      </c>
      <c r="C36" s="306"/>
      <c r="D36" s="306"/>
      <c r="E36" s="308" t="s">
        <v>547</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548</v>
      </c>
      <c r="B37" s="305" t="s">
        <v>1121</v>
      </c>
      <c r="C37" s="306"/>
      <c r="D37" s="306"/>
      <c r="E37" s="308" t="s">
        <v>1122</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549</v>
      </c>
      <c r="B38" s="305" t="s">
        <v>1030</v>
      </c>
      <c r="C38" s="306"/>
      <c r="D38" s="306"/>
      <c r="E38" s="308" t="s">
        <v>1028</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550</v>
      </c>
      <c r="B39" s="305" t="s">
        <v>1026</v>
      </c>
      <c r="C39" s="306"/>
      <c r="D39" s="306"/>
      <c r="E39" s="308" t="s">
        <v>1029</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1027</v>
      </c>
      <c r="B40" s="305" t="s">
        <v>479</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1445</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520</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1114</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1115</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1116</v>
      </c>
      <c r="H45" s="302">
        <f>SUM(H41:H44)</f>
        <v>0</v>
      </c>
      <c r="I45" s="224" t="s">
        <v>1191</v>
      </c>
      <c r="J45" s="222"/>
      <c r="K45" s="222"/>
      <c r="L45" s="223"/>
      <c r="M45" s="222"/>
      <c r="N45" s="222"/>
      <c r="O45" s="222"/>
      <c r="P45" s="222"/>
    </row>
    <row r="46" spans="1:16" ht="28.5" customHeight="1" x14ac:dyDescent="0.2"/>
    <row r="47" spans="1:16" s="295" customFormat="1" ht="28.5" customHeight="1" thickBot="1" x14ac:dyDescent="0.25">
      <c r="A47" s="310" t="s">
        <v>551</v>
      </c>
      <c r="D47" s="223"/>
      <c r="E47" s="223"/>
      <c r="F47" s="223"/>
      <c r="G47" s="223"/>
      <c r="H47" s="223"/>
      <c r="I47" s="223"/>
      <c r="J47" s="223"/>
      <c r="K47" s="223"/>
      <c r="L47" s="223"/>
      <c r="M47" s="222"/>
      <c r="N47" s="222"/>
      <c r="O47" s="222"/>
      <c r="P47" s="222"/>
    </row>
    <row r="48" spans="1:16" s="295" customFormat="1" ht="30.75" customHeight="1" thickBot="1" x14ac:dyDescent="0.25">
      <c r="A48" s="691" t="s">
        <v>555</v>
      </c>
      <c r="B48" s="692"/>
      <c r="C48" s="311" t="s">
        <v>38</v>
      </c>
      <c r="D48" s="311" t="s">
        <v>121</v>
      </c>
      <c r="E48" s="311" t="s">
        <v>122</v>
      </c>
      <c r="F48" s="311" t="s">
        <v>123</v>
      </c>
      <c r="G48" s="311" t="s">
        <v>124</v>
      </c>
      <c r="H48" s="365" t="s">
        <v>39</v>
      </c>
      <c r="I48" s="365" t="s">
        <v>1447</v>
      </c>
      <c r="J48" s="222"/>
      <c r="K48" s="222"/>
      <c r="L48" s="223"/>
      <c r="M48" s="222"/>
      <c r="N48" s="222"/>
      <c r="O48" s="222"/>
      <c r="P48" s="222"/>
    </row>
    <row r="49" spans="1:16" s="295" customFormat="1" ht="28.5" customHeight="1" thickBot="1" x14ac:dyDescent="0.25">
      <c r="A49" s="683" t="s">
        <v>494</v>
      </c>
      <c r="B49" s="684"/>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516</v>
      </c>
      <c r="B50" s="313" t="s">
        <v>516</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Restoration of Cultural Monuments</v>
      </c>
      <c r="B51" s="316" t="s">
        <v>524</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525</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526</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527</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528</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529</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530</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531</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556</v>
      </c>
      <c r="B61" s="320" t="s">
        <v>516</v>
      </c>
      <c r="C61" s="311" t="s">
        <v>524</v>
      </c>
      <c r="D61" s="311" t="s">
        <v>525</v>
      </c>
      <c r="E61" s="311" t="s">
        <v>526</v>
      </c>
      <c r="F61" s="311" t="s">
        <v>527</v>
      </c>
      <c r="G61" s="311" t="s">
        <v>528</v>
      </c>
      <c r="H61" s="311" t="s">
        <v>529</v>
      </c>
      <c r="I61" s="311" t="s">
        <v>530</v>
      </c>
      <c r="J61" s="311" t="s">
        <v>531</v>
      </c>
      <c r="K61" s="321" t="s">
        <v>558</v>
      </c>
      <c r="L61" s="322" t="s">
        <v>557</v>
      </c>
      <c r="M61" s="222"/>
      <c r="N61" s="222"/>
      <c r="O61" s="222"/>
      <c r="P61" s="222"/>
    </row>
    <row r="62" spans="1:16" s="295" customFormat="1" ht="34.5" customHeight="1" thickBot="1" x14ac:dyDescent="0.25">
      <c r="A62" s="323" t="s">
        <v>554</v>
      </c>
      <c r="B62" s="324" t="str">
        <f>B61</f>
        <v>Project Management</v>
      </c>
      <c r="C62" s="324" t="str">
        <f>IF(Activity1_Name="","",Activity1_Name)</f>
        <v>Restoration of Cultural Monuments</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487</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488</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489</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482</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483</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484</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485</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552</v>
      </c>
      <c r="B70" s="682"/>
      <c r="C70" s="682"/>
      <c r="D70" s="682"/>
      <c r="E70" s="682"/>
      <c r="F70" s="682"/>
      <c r="G70" s="331"/>
      <c r="H70" s="331"/>
      <c r="I70" s="331"/>
      <c r="J70" s="332"/>
      <c r="K70" s="333">
        <f>amount_indirect_costs</f>
        <v>0</v>
      </c>
      <c r="L70" s="330">
        <f t="shared" si="7"/>
        <v>0</v>
      </c>
    </row>
    <row r="71" spans="1:12" ht="34.5" customHeight="1" thickBot="1" x14ac:dyDescent="0.25">
      <c r="A71" s="327" t="s">
        <v>1112</v>
      </c>
      <c r="B71" s="363"/>
      <c r="C71" s="363"/>
      <c r="D71" s="363"/>
      <c r="E71" s="363"/>
      <c r="F71" s="363"/>
      <c r="G71" s="363"/>
      <c r="H71" s="363"/>
      <c r="I71" s="363"/>
      <c r="J71" s="364"/>
      <c r="K71" s="333">
        <f>reserve_total</f>
        <v>0</v>
      </c>
      <c r="L71" s="330">
        <f t="shared" si="7"/>
        <v>0</v>
      </c>
    </row>
    <row r="72" spans="1:12" ht="34.5" customHeight="1" thickBot="1" x14ac:dyDescent="0.25">
      <c r="A72" s="327" t="s">
        <v>1113</v>
      </c>
      <c r="B72" s="363"/>
      <c r="C72" s="363"/>
      <c r="D72" s="363"/>
      <c r="E72" s="363"/>
      <c r="F72" s="363"/>
      <c r="G72" s="363"/>
      <c r="H72" s="363"/>
      <c r="I72" s="363"/>
      <c r="J72" s="364"/>
      <c r="K72" s="333">
        <f>in_kind_total</f>
        <v>0</v>
      </c>
      <c r="L72" s="330">
        <f t="shared" si="7"/>
        <v>0</v>
      </c>
    </row>
    <row r="73" spans="1:12" ht="34.5" customHeight="1" thickBot="1" x14ac:dyDescent="0.25">
      <c r="A73" s="311" t="s">
        <v>553</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1446</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1118</v>
      </c>
      <c r="B79" s="378" t="s">
        <v>1119</v>
      </c>
      <c r="C79" s="377" t="s">
        <v>1120</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4" t="s">
        <v>1372</v>
      </c>
    </row>
    <row r="95" spans="1:4" ht="12" thickBot="1" x14ac:dyDescent="0.25"/>
    <row r="96" spans="1:4" ht="12" thickTop="1" x14ac:dyDescent="0.2">
      <c r="A96" s="426" t="s">
        <v>1007</v>
      </c>
      <c r="B96" s="427" t="str">
        <f>Applicant!J711</f>
        <v>Started</v>
      </c>
      <c r="C96" s="428" t="s">
        <v>1368</v>
      </c>
      <c r="D96" s="429"/>
    </row>
    <row r="97" spans="1:8" x14ac:dyDescent="0.2">
      <c r="A97" s="424">
        <f>IF(ISBLANK(Applicant!C712),0,Applicant!C712)</f>
        <v>0</v>
      </c>
      <c r="B97" s="430">
        <f>IF(ISBLANK(Applicant!$J712),0,IFERROR(VALUE(SUBSTITUTE(SUBSTITUTE(Applicant!$J712,"within ",""), " months", "")),0))</f>
        <v>0</v>
      </c>
      <c r="C97" s="431">
        <f>IF(ISNUMBER(Applicant!L712),Applicant!L712,0)</f>
        <v>0</v>
      </c>
      <c r="D97" s="423"/>
      <c r="G97" s="423"/>
      <c r="H97" s="423"/>
    </row>
    <row r="98" spans="1:8" x14ac:dyDescent="0.2">
      <c r="A98" s="424">
        <f>IF(ISBLANK(Applicant!C713),0,Applicant!C713)</f>
        <v>0</v>
      </c>
      <c r="B98" s="430">
        <f>IF(ISBLANK(Applicant!$J713),0,IFERROR(VALUE(SUBSTITUTE(SUBSTITUTE(Applicant!$J713,"within ",""), " months", "")),0))</f>
        <v>0</v>
      </c>
      <c r="C98" s="431">
        <f>IF(ISNUMBER(Applicant!L713),Applicant!L713,0)</f>
        <v>0</v>
      </c>
      <c r="D98" s="423"/>
      <c r="G98" s="423"/>
      <c r="H98" s="423"/>
    </row>
    <row r="99" spans="1:8" x14ac:dyDescent="0.2">
      <c r="A99" s="424">
        <f>IF(ISBLANK(Applicant!C714),0,Applicant!C714)</f>
        <v>0</v>
      </c>
      <c r="B99" s="430">
        <f>IF(ISBLANK(Applicant!$J714),0,IFERROR(VALUE(SUBSTITUTE(SUBSTITUTE(Applicant!$J714,"within ",""), " months", "")),0))</f>
        <v>0</v>
      </c>
      <c r="C99" s="431">
        <f>IF(ISNUMBER(Applicant!L714),Applicant!L714,0)</f>
        <v>0</v>
      </c>
      <c r="D99" s="423"/>
      <c r="F99" s="423"/>
      <c r="G99" s="423"/>
      <c r="H99" s="423"/>
    </row>
    <row r="100" spans="1:8" x14ac:dyDescent="0.2">
      <c r="A100" s="424">
        <f>IF(ISBLANK(Applicant!C715),0,Applicant!C715)</f>
        <v>0</v>
      </c>
      <c r="B100" s="430">
        <f>IF(ISBLANK(Applicant!$J715),0,IFERROR(VALUE(SUBSTITUTE(SUBSTITUTE(Applicant!$J715,"within ",""), " months", "")),0))</f>
        <v>0</v>
      </c>
      <c r="C100" s="431">
        <f>IF(ISNUMBER(Applicant!L715),Applicant!L715,0)</f>
        <v>0</v>
      </c>
      <c r="D100" s="423"/>
      <c r="F100" s="423"/>
      <c r="G100" s="423"/>
      <c r="H100" s="423"/>
    </row>
    <row r="101" spans="1:8" x14ac:dyDescent="0.2">
      <c r="A101" s="424">
        <f>IF(ISBLANK(Applicant!C716),0,Applicant!C716)</f>
        <v>0</v>
      </c>
      <c r="B101" s="430">
        <f>IF(ISBLANK(Applicant!$J716),0,IFERROR(VALUE(SUBSTITUTE(SUBSTITUTE(Applicant!$J716,"within ",""), " months", "")),0))</f>
        <v>0</v>
      </c>
      <c r="C101" s="431">
        <f>IF(ISNUMBER(Applicant!L716),Applicant!L716,0)</f>
        <v>0</v>
      </c>
      <c r="D101" s="423"/>
      <c r="F101" s="423"/>
      <c r="G101" s="423"/>
      <c r="H101" s="423"/>
    </row>
    <row r="102" spans="1:8" x14ac:dyDescent="0.2">
      <c r="A102" s="424">
        <f>IF(ISBLANK(Applicant!C717),0,Applicant!C717)</f>
        <v>0</v>
      </c>
      <c r="B102" s="430">
        <f>IF(ISBLANK(Applicant!$J717),0,IFERROR(VALUE(SUBSTITUTE(SUBSTITUTE(Applicant!$J717,"within ",""), " months", "")),0))</f>
        <v>0</v>
      </c>
      <c r="C102" s="431">
        <f>IF(ISNUMBER(Applicant!L717),Applicant!L717,0)</f>
        <v>0</v>
      </c>
      <c r="D102" s="423"/>
      <c r="F102" s="423"/>
      <c r="G102" s="423"/>
      <c r="H102" s="423"/>
    </row>
    <row r="103" spans="1:8" x14ac:dyDescent="0.2">
      <c r="A103" s="424">
        <f>IF(ISBLANK(Applicant!C718),0,Applicant!C718)</f>
        <v>0</v>
      </c>
      <c r="B103" s="430">
        <f>IF(ISBLANK(Applicant!$J718),0,IFERROR(VALUE(SUBSTITUTE(SUBSTITUTE(Applicant!$J718,"within ",""), " months", "")),0))</f>
        <v>0</v>
      </c>
      <c r="C103" s="431">
        <f>IF(ISNUMBER(Applicant!L718),Applicant!L718,0)</f>
        <v>0</v>
      </c>
      <c r="D103" s="423"/>
      <c r="F103" s="423"/>
      <c r="G103" s="423"/>
      <c r="H103" s="423"/>
    </row>
    <row r="104" spans="1:8" x14ac:dyDescent="0.2">
      <c r="A104" s="424">
        <f>IF(ISBLANK(Applicant!C719),0,Applicant!C719)</f>
        <v>0</v>
      </c>
      <c r="B104" s="430">
        <f>IF(ISBLANK(Applicant!$J719),0,IFERROR(VALUE(SUBSTITUTE(SUBSTITUTE(Applicant!$J719,"within ",""), " months", "")),0))</f>
        <v>0</v>
      </c>
      <c r="C104" s="431">
        <f>IF(ISNUMBER(Applicant!L719),Applicant!L719,0)</f>
        <v>0</v>
      </c>
      <c r="D104" s="423"/>
      <c r="F104" s="423"/>
      <c r="G104" s="423"/>
      <c r="H104" s="423"/>
    </row>
    <row r="105" spans="1:8" x14ac:dyDescent="0.2">
      <c r="A105" s="424">
        <f>IF(ISBLANK(Applicant!C720),0,Applicant!C720)</f>
        <v>0</v>
      </c>
      <c r="B105" s="430">
        <f>IF(ISBLANK(Applicant!$J720),0,IFERROR(VALUE(SUBSTITUTE(SUBSTITUTE(Applicant!$J720,"within ",""), " months", "")),0))</f>
        <v>0</v>
      </c>
      <c r="C105" s="431">
        <f>IF(ISNUMBER(Applicant!L720),Applicant!L720,0)</f>
        <v>0</v>
      </c>
      <c r="D105" s="423"/>
      <c r="F105" s="423"/>
      <c r="G105" s="423"/>
      <c r="H105" s="423"/>
    </row>
    <row r="106" spans="1:8" x14ac:dyDescent="0.2">
      <c r="A106" s="424">
        <f>IF(ISBLANK(Applicant!C721),0,Applicant!C721)</f>
        <v>0</v>
      </c>
      <c r="B106" s="430">
        <f>IF(ISBLANK(Applicant!$J721),0,IFERROR(VALUE(SUBSTITUTE(SUBSTITUTE(Applicant!$J721,"within ",""), " months", "")),0))</f>
        <v>0</v>
      </c>
      <c r="C106" s="431">
        <f>IF(ISNUMBER(Applicant!L721),Applicant!L721,0)</f>
        <v>0</v>
      </c>
      <c r="D106" s="423"/>
      <c r="F106" s="423"/>
      <c r="G106" s="423"/>
      <c r="H106" s="423"/>
    </row>
    <row r="107" spans="1:8" x14ac:dyDescent="0.2">
      <c r="A107" s="424">
        <f>IF(ISBLANK(Applicant!C722),0,Applicant!C722)</f>
        <v>0</v>
      </c>
      <c r="B107" s="430">
        <f>IF(ISBLANK(Applicant!$J722),0,IFERROR(VALUE(SUBSTITUTE(SUBSTITUTE(Applicant!$J722,"within ",""), " months", "")),0))</f>
        <v>0</v>
      </c>
      <c r="C107" s="431">
        <f>IF(ISNUMBER(Applicant!L722),Applicant!L722,0)</f>
        <v>0</v>
      </c>
      <c r="D107" s="423"/>
      <c r="F107" s="423"/>
      <c r="G107" s="423"/>
      <c r="H107" s="423"/>
    </row>
    <row r="108" spans="1:8" x14ac:dyDescent="0.2">
      <c r="A108" s="424">
        <f>IF(ISBLANK(Applicant!C723),0,Applicant!C723)</f>
        <v>0</v>
      </c>
      <c r="B108" s="430">
        <f>IF(ISBLANK(Applicant!$J723),0,IFERROR(VALUE(SUBSTITUTE(SUBSTITUTE(Applicant!$J723,"within ",""), " months", "")),0))</f>
        <v>0</v>
      </c>
      <c r="C108" s="431">
        <f>IF(ISNUMBER(Applicant!L723),Applicant!L723,0)</f>
        <v>0</v>
      </c>
      <c r="D108" s="423"/>
      <c r="F108" s="423"/>
      <c r="G108" s="423"/>
      <c r="H108" s="423"/>
    </row>
    <row r="109" spans="1:8" x14ac:dyDescent="0.2">
      <c r="A109" s="424">
        <f>IF(ISBLANK(Applicant!C724),0,Applicant!C724)</f>
        <v>0</v>
      </c>
      <c r="B109" s="430">
        <f>IF(ISBLANK(Applicant!$J724),0,IFERROR(VALUE(SUBSTITUTE(SUBSTITUTE(Applicant!$J724,"within ",""), " months", "")),0))</f>
        <v>0</v>
      </c>
      <c r="C109" s="431">
        <f>IF(ISNUMBER(Applicant!L724),Applicant!L724,0)</f>
        <v>0</v>
      </c>
      <c r="D109" s="423"/>
      <c r="F109" s="423"/>
      <c r="G109" s="423"/>
      <c r="H109" s="423"/>
    </row>
    <row r="110" spans="1:8" x14ac:dyDescent="0.2">
      <c r="A110" s="424">
        <f>IF(ISBLANK(Applicant!C725),0,Applicant!C725)</f>
        <v>0</v>
      </c>
      <c r="B110" s="430">
        <f>IF(ISBLANK(Applicant!$J725),0,IFERROR(VALUE(SUBSTITUTE(SUBSTITUTE(Applicant!$J725,"within ",""), " months", "")),0))</f>
        <v>0</v>
      </c>
      <c r="C110" s="431">
        <f>IF(ISNUMBER(Applicant!L725),Applicant!L725,0)</f>
        <v>0</v>
      </c>
      <c r="D110" s="423"/>
      <c r="F110" s="423"/>
      <c r="G110" s="423"/>
      <c r="H110" s="423"/>
    </row>
    <row r="111" spans="1:8" x14ac:dyDescent="0.2">
      <c r="A111" s="424">
        <f>IF(ISBLANK(Applicant!C726),0,Applicant!C726)</f>
        <v>0</v>
      </c>
      <c r="B111" s="430">
        <f>IF(ISBLANK(Applicant!$J726),0,IFERROR(VALUE(SUBSTITUTE(SUBSTITUTE(Applicant!$J726,"within ",""), " months", "")),0))</f>
        <v>0</v>
      </c>
      <c r="C111" s="431">
        <f>IF(ISNUMBER(Applicant!L726),Applicant!L726,0)</f>
        <v>0</v>
      </c>
      <c r="D111" s="423"/>
      <c r="F111" s="423"/>
      <c r="G111" s="423"/>
      <c r="H111" s="423"/>
    </row>
    <row r="112" spans="1:8" x14ac:dyDescent="0.2">
      <c r="A112" s="424">
        <f>IF(ISBLANK(Applicant!C727),0,Applicant!C727)</f>
        <v>0</v>
      </c>
      <c r="B112" s="430">
        <f>IF(ISBLANK(Applicant!$J727),0,IFERROR(VALUE(SUBSTITUTE(SUBSTITUTE(Applicant!$J727,"within ",""), " months", "")),0))</f>
        <v>0</v>
      </c>
      <c r="C112" s="431">
        <f>IF(ISNUMBER(Applicant!L727),Applicant!L727,0)</f>
        <v>0</v>
      </c>
      <c r="D112" s="423"/>
      <c r="F112" s="423"/>
      <c r="G112" s="423"/>
      <c r="H112" s="423"/>
    </row>
    <row r="113" spans="1:8" x14ac:dyDescent="0.2">
      <c r="A113" s="424">
        <f>IF(ISBLANK(Applicant!C728),0,Applicant!C728)</f>
        <v>0</v>
      </c>
      <c r="B113" s="430">
        <f>IF(ISBLANK(Applicant!$J728),0,IFERROR(VALUE(SUBSTITUTE(SUBSTITUTE(Applicant!$J728,"within ",""), " months", "")),0))</f>
        <v>0</v>
      </c>
      <c r="C113" s="431">
        <f>IF(ISNUMBER(Applicant!L728),Applicant!L728,0)</f>
        <v>0</v>
      </c>
      <c r="D113" s="423"/>
      <c r="F113" s="423"/>
      <c r="G113" s="423"/>
      <c r="H113" s="423"/>
    </row>
    <row r="114" spans="1:8" x14ac:dyDescent="0.2">
      <c r="A114" s="424">
        <f>IF(ISBLANK(Applicant!C729),0,Applicant!C729)</f>
        <v>0</v>
      </c>
      <c r="B114" s="430">
        <f>IF(ISBLANK(Applicant!$J729),0,IFERROR(VALUE(SUBSTITUTE(SUBSTITUTE(Applicant!$J729,"within ",""), " months", "")),0))</f>
        <v>0</v>
      </c>
      <c r="C114" s="431">
        <f>IF(ISNUMBER(Applicant!L729),Applicant!L729,0)</f>
        <v>0</v>
      </c>
      <c r="D114" s="423"/>
      <c r="F114" s="423"/>
      <c r="G114" s="423"/>
      <c r="H114" s="423"/>
    </row>
    <row r="115" spans="1:8" x14ac:dyDescent="0.2">
      <c r="A115" s="424">
        <f>IF(ISBLANK(Applicant!C730),0,Applicant!C730)</f>
        <v>0</v>
      </c>
      <c r="B115" s="430">
        <f>IF(ISBLANK(Applicant!$J730),0,IFERROR(VALUE(SUBSTITUTE(SUBSTITUTE(Applicant!$J730,"within ",""), " months", "")),0))</f>
        <v>0</v>
      </c>
      <c r="C115" s="431">
        <f>IF(ISNUMBER(Applicant!L730),Applicant!L730,0)</f>
        <v>0</v>
      </c>
      <c r="D115" s="423"/>
      <c r="F115" s="423"/>
      <c r="G115" s="423"/>
      <c r="H115" s="423"/>
    </row>
    <row r="116" spans="1:8" x14ac:dyDescent="0.2">
      <c r="A116" s="424">
        <f>IF(ISBLANK(Applicant!C731),0,Applicant!C731)</f>
        <v>0</v>
      </c>
      <c r="B116" s="430">
        <f>IF(ISBLANK(Applicant!$J731),0,IFERROR(VALUE(SUBSTITUTE(SUBSTITUTE(Applicant!$J731,"within ",""), " months", "")),0))</f>
        <v>0</v>
      </c>
      <c r="C116" s="431">
        <f>IF(ISNUMBER(Applicant!L731),Applicant!L731,0)</f>
        <v>0</v>
      </c>
      <c r="D116" s="423"/>
      <c r="F116" s="423"/>
      <c r="G116" s="423"/>
      <c r="H116" s="423"/>
    </row>
    <row r="117" spans="1:8" x14ac:dyDescent="0.2">
      <c r="A117" s="424">
        <f>IF(ISBLANK(Applicant!C732),0,Applicant!C732)</f>
        <v>0</v>
      </c>
      <c r="B117" s="430">
        <f>IF(ISBLANK(Applicant!$J732),0,IFERROR(VALUE(SUBSTITUTE(SUBSTITUTE(Applicant!$J732,"within ",""), " months", "")),0))</f>
        <v>0</v>
      </c>
      <c r="C117" s="431">
        <f>IF(ISNUMBER(Applicant!L732),Applicant!L732,0)</f>
        <v>0</v>
      </c>
      <c r="D117" s="423"/>
      <c r="F117" s="423"/>
      <c r="G117" s="423"/>
      <c r="H117" s="423"/>
    </row>
    <row r="118" spans="1:8" x14ac:dyDescent="0.2">
      <c r="A118" s="424">
        <f>IF(ISBLANK(Applicant!C733),0,Applicant!C733)</f>
        <v>0</v>
      </c>
      <c r="B118" s="430">
        <f>IF(ISBLANK(Applicant!$J733),0,IFERROR(VALUE(SUBSTITUTE(SUBSTITUTE(Applicant!$J733,"within ",""), " months", "")),0))</f>
        <v>0</v>
      </c>
      <c r="C118" s="431">
        <f>IF(ISNUMBER(Applicant!L733),Applicant!L733,0)</f>
        <v>0</v>
      </c>
      <c r="D118" s="423"/>
      <c r="F118" s="423"/>
      <c r="G118" s="423"/>
      <c r="H118" s="423"/>
    </row>
    <row r="119" spans="1:8" x14ac:dyDescent="0.2">
      <c r="A119" s="424">
        <f>IF(ISBLANK(Applicant!C734),0,Applicant!C734)</f>
        <v>0</v>
      </c>
      <c r="B119" s="430">
        <f>IF(ISBLANK(Applicant!$J734),0,IFERROR(VALUE(SUBSTITUTE(SUBSTITUTE(Applicant!$J734,"within ",""), " months", "")),0))</f>
        <v>0</v>
      </c>
      <c r="C119" s="431">
        <f>IF(ISNUMBER(Applicant!L734),Applicant!L734,0)</f>
        <v>0</v>
      </c>
      <c r="D119" s="423"/>
      <c r="F119" s="423"/>
      <c r="G119" s="423"/>
      <c r="H119" s="423"/>
    </row>
    <row r="120" spans="1:8" x14ac:dyDescent="0.2">
      <c r="A120" s="424">
        <f>IF(ISBLANK(Applicant!C735),0,Applicant!C735)</f>
        <v>0</v>
      </c>
      <c r="B120" s="430">
        <f>IF(ISBLANK(Applicant!$J735),0,IFERROR(VALUE(SUBSTITUTE(SUBSTITUTE(Applicant!$J735,"within ",""), " months", "")),0))</f>
        <v>0</v>
      </c>
      <c r="C120" s="431">
        <f>IF(ISNUMBER(Applicant!L735),Applicant!L735,0)</f>
        <v>0</v>
      </c>
      <c r="D120" s="423"/>
      <c r="F120" s="423"/>
      <c r="G120" s="423"/>
      <c r="H120" s="423"/>
    </row>
    <row r="121" spans="1:8" x14ac:dyDescent="0.2">
      <c r="A121" s="424">
        <f>IF(ISBLANK(Applicant!C736),0,Applicant!C736)</f>
        <v>0</v>
      </c>
      <c r="B121" s="430">
        <f>IF(ISBLANK(Applicant!$J736),0,IFERROR(VALUE(SUBSTITUTE(SUBSTITUTE(Applicant!$J736,"within ",""), " months", "")),0))</f>
        <v>0</v>
      </c>
      <c r="C121" s="431">
        <f>IF(ISNUMBER(Applicant!L736),Applicant!L736,0)</f>
        <v>0</v>
      </c>
      <c r="D121" s="423"/>
      <c r="F121" s="423"/>
      <c r="G121" s="423"/>
      <c r="H121" s="423"/>
    </row>
    <row r="122" spans="1:8" x14ac:dyDescent="0.2">
      <c r="A122" s="424">
        <f>IF(ISBLANK(Applicant!C737),0,Applicant!C737)</f>
        <v>0</v>
      </c>
      <c r="B122" s="430">
        <f>IF(ISBLANK(Applicant!$J737),0,IFERROR(VALUE(SUBSTITUTE(SUBSTITUTE(Applicant!$J737,"within ",""), " months", "")),0))</f>
        <v>0</v>
      </c>
      <c r="C122" s="431">
        <f>IF(ISNUMBER(Applicant!L737),Applicant!L737,0)</f>
        <v>0</v>
      </c>
      <c r="D122" s="423"/>
      <c r="F122" s="423"/>
      <c r="G122" s="423"/>
      <c r="H122" s="423"/>
    </row>
    <row r="123" spans="1:8" x14ac:dyDescent="0.2">
      <c r="A123" s="424">
        <f>IF(ISBLANK(Applicant!C738),0,Applicant!C738)</f>
        <v>0</v>
      </c>
      <c r="B123" s="430">
        <f>IF(ISBLANK(Applicant!$J738),0,IFERROR(VALUE(SUBSTITUTE(SUBSTITUTE(Applicant!$J738,"within ",""), " months", "")),0))</f>
        <v>0</v>
      </c>
      <c r="C123" s="431">
        <f>IF(ISNUMBER(Applicant!L738),Applicant!L738,0)</f>
        <v>0</v>
      </c>
      <c r="D123" s="423"/>
      <c r="F123" s="423"/>
      <c r="G123" s="423"/>
      <c r="H123" s="423"/>
    </row>
    <row r="124" spans="1:8" x14ac:dyDescent="0.2">
      <c r="A124" s="424">
        <f>IF(ISBLANK(Applicant!C739),0,Applicant!C739)</f>
        <v>0</v>
      </c>
      <c r="B124" s="430">
        <f>IF(ISBLANK(Applicant!$J739),0,IFERROR(VALUE(SUBSTITUTE(SUBSTITUTE(Applicant!$J739,"within ",""), " months", "")),0))</f>
        <v>0</v>
      </c>
      <c r="C124" s="431">
        <f>IF(ISNUMBER(Applicant!L739),Applicant!L739,0)</f>
        <v>0</v>
      </c>
      <c r="D124" s="423"/>
      <c r="F124" s="423"/>
      <c r="G124" s="423"/>
      <c r="H124" s="423"/>
    </row>
    <row r="125" spans="1:8" x14ac:dyDescent="0.2">
      <c r="A125" s="424">
        <f>IF(ISBLANK(Applicant!C740),0,Applicant!C740)</f>
        <v>0</v>
      </c>
      <c r="B125" s="430">
        <f>IF(ISBLANK(Applicant!$J740),0,IFERROR(VALUE(SUBSTITUTE(SUBSTITUTE(Applicant!$J740,"within ",""), " months", "")),0))</f>
        <v>0</v>
      </c>
      <c r="C125" s="431">
        <f>IF(ISNUMBER(Applicant!L740),Applicant!L740,0)</f>
        <v>0</v>
      </c>
      <c r="D125" s="423"/>
      <c r="F125" s="423"/>
      <c r="G125" s="423"/>
      <c r="H125" s="423"/>
    </row>
    <row r="126" spans="1:8" x14ac:dyDescent="0.2">
      <c r="A126" s="424">
        <f>IF(ISBLANK(Applicant!C741),0,Applicant!C741)</f>
        <v>0</v>
      </c>
      <c r="B126" s="430">
        <f>IF(ISBLANK(Applicant!$J741),0,IFERROR(VALUE(SUBSTITUTE(SUBSTITUTE(Applicant!$J741,"within ",""), " months", "")),0))</f>
        <v>0</v>
      </c>
      <c r="C126" s="431">
        <f>IF(ISNUMBER(Applicant!L741),Applicant!L741,0)</f>
        <v>0</v>
      </c>
      <c r="D126" s="423"/>
      <c r="F126" s="423"/>
      <c r="G126" s="423"/>
      <c r="H126" s="423"/>
    </row>
    <row r="127" spans="1:8" x14ac:dyDescent="0.2">
      <c r="A127" s="424">
        <f>IF(ISBLANK(Applicant!C742),0,Applicant!C742)</f>
        <v>0</v>
      </c>
      <c r="B127" s="430">
        <f>IF(ISBLANK(Applicant!$J742),0,IFERROR(VALUE(SUBSTITUTE(SUBSTITUTE(Applicant!$J742,"within ",""), " months", "")),0))</f>
        <v>0</v>
      </c>
      <c r="C127" s="431">
        <f>IF(ISNUMBER(Applicant!L742),Applicant!L742,0)</f>
        <v>0</v>
      </c>
      <c r="D127" s="423"/>
      <c r="F127" s="423"/>
      <c r="G127" s="423"/>
      <c r="H127" s="423"/>
    </row>
    <row r="128" spans="1:8" x14ac:dyDescent="0.2">
      <c r="A128" s="424">
        <f>IF(ISBLANK(Applicant!C743),0,Applicant!C743)</f>
        <v>0</v>
      </c>
      <c r="B128" s="430">
        <f>IF(ISBLANK(Applicant!$J743),0,IFERROR(VALUE(SUBSTITUTE(SUBSTITUTE(Applicant!$J743,"within ",""), " months", "")),0))</f>
        <v>0</v>
      </c>
      <c r="C128" s="431">
        <f>IF(ISNUMBER(Applicant!L743),Applicant!L743,0)</f>
        <v>0</v>
      </c>
      <c r="D128" s="423"/>
      <c r="F128" s="423"/>
      <c r="G128" s="423"/>
      <c r="H128" s="423"/>
    </row>
    <row r="129" spans="1:8" x14ac:dyDescent="0.2">
      <c r="A129" s="424">
        <f>IF(ISBLANK(Applicant!C744),0,Applicant!C744)</f>
        <v>0</v>
      </c>
      <c r="B129" s="430">
        <f>IF(ISBLANK(Applicant!$J744),0,IFERROR(VALUE(SUBSTITUTE(SUBSTITUTE(Applicant!$J744,"within ",""), " months", "")),0))</f>
        <v>0</v>
      </c>
      <c r="C129" s="431">
        <f>IF(ISNUMBER(Applicant!L744),Applicant!L744,0)</f>
        <v>0</v>
      </c>
      <c r="D129" s="423"/>
      <c r="F129" s="423"/>
      <c r="G129" s="423"/>
      <c r="H129" s="423"/>
    </row>
    <row r="130" spans="1:8" x14ac:dyDescent="0.2">
      <c r="A130" s="424">
        <f>IF(ISBLANK(Applicant!C745),0,Applicant!C745)</f>
        <v>0</v>
      </c>
      <c r="B130" s="430">
        <f>IF(ISBLANK(Applicant!$J745),0,IFERROR(VALUE(SUBSTITUTE(SUBSTITUTE(Applicant!$J745,"within ",""), " months", "")),0))</f>
        <v>0</v>
      </c>
      <c r="C130" s="431">
        <f>IF(ISNUMBER(Applicant!L745),Applicant!L745,0)</f>
        <v>0</v>
      </c>
      <c r="D130" s="423"/>
      <c r="F130" s="423"/>
      <c r="G130" s="423"/>
      <c r="H130" s="423"/>
    </row>
    <row r="131" spans="1:8" x14ac:dyDescent="0.2">
      <c r="A131" s="424">
        <f>IF(ISBLANK(Applicant!C746),0,Applicant!C746)</f>
        <v>0</v>
      </c>
      <c r="B131" s="430">
        <f>IF(ISBLANK(Applicant!$J746),0,IFERROR(VALUE(SUBSTITUTE(SUBSTITUTE(Applicant!$J746,"within ",""), " months", "")),0))</f>
        <v>0</v>
      </c>
      <c r="C131" s="431">
        <f>IF(ISNUMBER(Applicant!L746),Applicant!L746,0)</f>
        <v>0</v>
      </c>
      <c r="D131" s="423"/>
      <c r="F131" s="423"/>
      <c r="G131" s="423"/>
      <c r="H131" s="423"/>
    </row>
    <row r="132" spans="1:8" x14ac:dyDescent="0.2">
      <c r="A132" s="424">
        <f>IF(ISBLANK(Applicant!C747),0,Applicant!C747)</f>
        <v>0</v>
      </c>
      <c r="B132" s="430">
        <f>IF(ISBLANK(Applicant!$J747),0,IFERROR(VALUE(SUBSTITUTE(SUBSTITUTE(Applicant!$J747,"within ",""), " months", "")),0))</f>
        <v>0</v>
      </c>
      <c r="C132" s="431">
        <f>IF(ISNUMBER(Applicant!L747),Applicant!L747,0)</f>
        <v>0</v>
      </c>
      <c r="D132" s="423"/>
      <c r="F132" s="423"/>
      <c r="G132" s="423"/>
      <c r="H132" s="423"/>
    </row>
    <row r="133" spans="1:8" x14ac:dyDescent="0.2">
      <c r="A133" s="424">
        <f>IF(ISBLANK(Applicant!C748),0,Applicant!C748)</f>
        <v>0</v>
      </c>
      <c r="B133" s="430">
        <f>IF(ISBLANK(Applicant!$J748),0,IFERROR(VALUE(SUBSTITUTE(SUBSTITUTE(Applicant!$J748,"within ",""), " months", "")),0))</f>
        <v>0</v>
      </c>
      <c r="C133" s="431">
        <f>IF(ISNUMBER(Applicant!L748),Applicant!L748,0)</f>
        <v>0</v>
      </c>
      <c r="D133" s="423"/>
      <c r="F133" s="423"/>
      <c r="G133" s="423"/>
      <c r="H133" s="423"/>
    </row>
    <row r="134" spans="1:8" x14ac:dyDescent="0.2">
      <c r="A134" s="424">
        <f>IF(ISBLANK(Applicant!C749),0,Applicant!C749)</f>
        <v>0</v>
      </c>
      <c r="B134" s="430">
        <f>IF(ISBLANK(Applicant!$J749),0,IFERROR(VALUE(SUBSTITUTE(SUBSTITUTE(Applicant!$J749,"within ",""), " months", "")),0))</f>
        <v>0</v>
      </c>
      <c r="C134" s="431">
        <f>IF(ISNUMBER(Applicant!L749),Applicant!L749,0)</f>
        <v>0</v>
      </c>
      <c r="D134" s="423"/>
      <c r="F134" s="423"/>
      <c r="G134" s="423"/>
      <c r="H134" s="423"/>
    </row>
    <row r="135" spans="1:8" ht="12" thickBot="1" x14ac:dyDescent="0.25">
      <c r="A135" s="425">
        <f>IF(ISBLANK(Applicant!C750),0,Applicant!C750)</f>
        <v>0</v>
      </c>
      <c r="B135" s="432">
        <f>IF(ISBLANK(Applicant!$J750),0,IFERROR(VALUE(SUBSTITUTE(SUBSTITUTE(Applicant!$J750,"within ",""), " months", "")),0))</f>
        <v>0</v>
      </c>
      <c r="C135" s="433">
        <f>IF(ISNUMBER(Applicant!L750),Applicant!L750,0)</f>
        <v>0</v>
      </c>
      <c r="D135" s="423"/>
      <c r="F135" s="423"/>
      <c r="G135" s="423"/>
      <c r="H135" s="423"/>
    </row>
    <row r="136" spans="1:8" ht="12" thickTop="1" x14ac:dyDescent="0.2">
      <c r="B136" s="423"/>
      <c r="C136" s="423"/>
      <c r="D136" s="423"/>
      <c r="E136" s="423"/>
      <c r="F136" s="423"/>
      <c r="G136" s="423"/>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topLeftCell="AQ1" zoomScale="130" zoomScaleNormal="130" workbookViewId="0">
      <selection activeCell="AW8" sqref="AW8"/>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4.5703125" style="221" customWidth="1"/>
    <col min="40" max="41" width="9.140625" style="221"/>
    <col min="42" max="42" width="21.5703125" style="221"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1437</v>
      </c>
      <c r="J1" s="237" t="s">
        <v>297</v>
      </c>
      <c r="L1" s="237" t="s">
        <v>427</v>
      </c>
      <c r="M1" s="237" t="s">
        <v>270</v>
      </c>
      <c r="N1" s="237" t="s">
        <v>278</v>
      </c>
      <c r="O1" s="204" t="s">
        <v>432</v>
      </c>
      <c r="P1" s="237" t="s">
        <v>465</v>
      </c>
      <c r="Q1" s="237" t="s">
        <v>467</v>
      </c>
      <c r="R1" s="237" t="s">
        <v>481</v>
      </c>
      <c r="S1" s="237" t="s">
        <v>480</v>
      </c>
      <c r="T1" s="237" t="s">
        <v>500</v>
      </c>
      <c r="U1" s="237" t="s">
        <v>499</v>
      </c>
      <c r="V1" s="237" t="s">
        <v>501</v>
      </c>
      <c r="W1" s="237" t="s">
        <v>504</v>
      </c>
      <c r="X1" s="237" t="s">
        <v>507</v>
      </c>
      <c r="Y1" s="237" t="s">
        <v>569</v>
      </c>
      <c r="Z1" s="237" t="s">
        <v>643</v>
      </c>
      <c r="AA1" s="237" t="s">
        <v>115</v>
      </c>
      <c r="AB1" s="202" t="s">
        <v>573</v>
      </c>
      <c r="AC1" s="204" t="s">
        <v>574</v>
      </c>
      <c r="AD1" s="204" t="s">
        <v>575</v>
      </c>
      <c r="AE1" s="237" t="s">
        <v>860</v>
      </c>
      <c r="AF1" s="237" t="s">
        <v>861</v>
      </c>
      <c r="AG1" s="237" t="s">
        <v>861</v>
      </c>
      <c r="AH1" s="237" t="s">
        <v>867</v>
      </c>
      <c r="AI1" s="237" t="s">
        <v>861</v>
      </c>
      <c r="AJ1" s="237" t="s">
        <v>913</v>
      </c>
      <c r="AK1" s="237" t="s">
        <v>921</v>
      </c>
      <c r="AL1" s="237" t="s">
        <v>881</v>
      </c>
      <c r="AM1" s="237" t="s">
        <v>906</v>
      </c>
      <c r="AN1" s="237" t="s">
        <v>912</v>
      </c>
      <c r="AO1" s="237" t="s">
        <v>911</v>
      </c>
      <c r="AP1" s="396" t="s">
        <v>432</v>
      </c>
      <c r="AQ1" s="237" t="s">
        <v>766</v>
      </c>
      <c r="AR1" s="237" t="s">
        <v>767</v>
      </c>
      <c r="AS1" s="237" t="s">
        <v>768</v>
      </c>
      <c r="AT1" s="237" t="s">
        <v>769</v>
      </c>
      <c r="AU1" s="237" t="s">
        <v>770</v>
      </c>
      <c r="AV1" s="237" t="s">
        <v>771</v>
      </c>
      <c r="AW1" s="237" t="s">
        <v>947</v>
      </c>
      <c r="AX1" s="237" t="s">
        <v>952</v>
      </c>
      <c r="AY1" s="237" t="s">
        <v>955</v>
      </c>
      <c r="AZ1" s="237" t="s">
        <v>956</v>
      </c>
      <c r="BA1" s="237" t="s">
        <v>957</v>
      </c>
      <c r="BB1" s="237" t="s">
        <v>1009</v>
      </c>
      <c r="BC1" s="237" t="s">
        <v>958</v>
      </c>
      <c r="BD1" s="237" t="s">
        <v>1012</v>
      </c>
      <c r="BE1" s="237" t="s">
        <v>1017</v>
      </c>
      <c r="BF1" s="237" t="s">
        <v>1024</v>
      </c>
      <c r="BG1" s="237" t="s">
        <v>1032</v>
      </c>
      <c r="BH1" s="237" t="s">
        <v>1087</v>
      </c>
      <c r="BI1" s="237" t="s">
        <v>1086</v>
      </c>
      <c r="BJ1" s="237" t="s">
        <v>1085</v>
      </c>
      <c r="BK1" s="237" t="s">
        <v>1130</v>
      </c>
      <c r="BL1" s="237" t="s">
        <v>1145</v>
      </c>
      <c r="BM1" s="237" t="s">
        <v>861</v>
      </c>
      <c r="BN1" s="237" t="s">
        <v>1188</v>
      </c>
      <c r="BO1" s="237" t="s">
        <v>1353</v>
      </c>
      <c r="BP1" s="237" t="s">
        <v>1354</v>
      </c>
    </row>
    <row r="2" spans="1:68" x14ac:dyDescent="0.2">
      <c r="A2" s="238" t="s">
        <v>129</v>
      </c>
      <c r="B2" s="238" t="s">
        <v>260</v>
      </c>
      <c r="C2" s="239" t="s">
        <v>129</v>
      </c>
      <c r="D2" s="221" t="s">
        <v>271</v>
      </c>
      <c r="E2" s="221" t="s">
        <v>279</v>
      </c>
      <c r="F2" s="221" t="s">
        <v>289</v>
      </c>
      <c r="G2" s="237" t="s">
        <v>279</v>
      </c>
      <c r="H2" s="237" t="s">
        <v>289</v>
      </c>
      <c r="I2" s="237"/>
      <c r="J2" s="221" t="s">
        <v>298</v>
      </c>
      <c r="K2" s="237"/>
      <c r="L2" s="203" t="s">
        <v>418</v>
      </c>
      <c r="M2" s="203" t="s">
        <v>418</v>
      </c>
      <c r="N2" s="202" t="s">
        <v>418</v>
      </c>
      <c r="P2" s="241" t="s">
        <v>466</v>
      </c>
      <c r="Q2" s="241" t="s">
        <v>468</v>
      </c>
      <c r="R2" s="241" t="s">
        <v>487</v>
      </c>
      <c r="S2" s="221" t="s">
        <v>1125</v>
      </c>
      <c r="T2" s="221" t="s">
        <v>38</v>
      </c>
      <c r="U2" s="242" t="s">
        <v>167</v>
      </c>
      <c r="V2" s="221" t="s">
        <v>502</v>
      </c>
      <c r="W2" s="221" t="s">
        <v>505</v>
      </c>
      <c r="X2" s="221" t="s">
        <v>508</v>
      </c>
      <c r="Y2" s="221" t="s">
        <v>572</v>
      </c>
      <c r="Z2" s="202" t="s">
        <v>576</v>
      </c>
      <c r="AA2" s="237" t="s">
        <v>644</v>
      </c>
      <c r="AB2" s="237" t="s">
        <v>644</v>
      </c>
      <c r="AC2" s="204"/>
      <c r="AD2" s="204"/>
      <c r="AE2" s="221" t="s">
        <v>862</v>
      </c>
      <c r="AF2" s="221" t="s">
        <v>687</v>
      </c>
      <c r="AG2" s="221" t="s">
        <v>868</v>
      </c>
      <c r="AH2" s="237" t="s">
        <v>868</v>
      </c>
      <c r="AL2" s="237" t="s">
        <v>903</v>
      </c>
      <c r="AM2" s="237" t="s">
        <v>914</v>
      </c>
      <c r="AP2" s="345"/>
      <c r="AW2" s="221" t="s">
        <v>946</v>
      </c>
      <c r="AX2" s="221" t="s">
        <v>953</v>
      </c>
      <c r="AY2" s="221" t="s">
        <v>965</v>
      </c>
      <c r="AZ2" s="221" t="s">
        <v>969</v>
      </c>
      <c r="BA2" s="221" t="s">
        <v>961</v>
      </c>
      <c r="BB2" s="221" t="s">
        <v>973</v>
      </c>
      <c r="BC2" s="221">
        <v>1</v>
      </c>
      <c r="BD2" s="221" t="s">
        <v>1013</v>
      </c>
      <c r="BE2" s="221" t="s">
        <v>570</v>
      </c>
      <c r="BF2" s="345" t="s">
        <v>1371</v>
      </c>
      <c r="BG2" s="221" t="s">
        <v>1033</v>
      </c>
      <c r="BH2" s="345">
        <v>200000</v>
      </c>
      <c r="BI2" s="345">
        <v>1000000</v>
      </c>
      <c r="BJ2" s="221" t="s">
        <v>1104</v>
      </c>
      <c r="BK2" s="221" t="s">
        <v>1131</v>
      </c>
      <c r="BL2" s="221" t="s">
        <v>1133</v>
      </c>
      <c r="BM2" s="221" t="s">
        <v>1134</v>
      </c>
      <c r="BN2" s="237" t="s">
        <v>1134</v>
      </c>
      <c r="BO2" s="221" t="s">
        <v>502</v>
      </c>
      <c r="BP2" s="397">
        <v>0.5</v>
      </c>
    </row>
    <row r="3" spans="1:68" x14ac:dyDescent="0.2">
      <c r="A3" s="238" t="s">
        <v>143</v>
      </c>
      <c r="B3" s="238" t="s">
        <v>261</v>
      </c>
      <c r="C3" s="238" t="s">
        <v>238</v>
      </c>
      <c r="D3" s="221" t="s">
        <v>1438</v>
      </c>
      <c r="E3" s="221" t="s">
        <v>1423</v>
      </c>
      <c r="F3" s="221" t="s">
        <v>1424</v>
      </c>
      <c r="G3" s="221" t="s">
        <v>274</v>
      </c>
      <c r="H3" s="221" t="s">
        <v>8</v>
      </c>
      <c r="I3" s="397">
        <v>1</v>
      </c>
      <c r="J3" s="221" t="s">
        <v>299</v>
      </c>
      <c r="L3" s="203" t="s">
        <v>419</v>
      </c>
      <c r="M3" s="203" t="s">
        <v>419</v>
      </c>
      <c r="N3" s="203" t="s">
        <v>303</v>
      </c>
      <c r="O3" s="205">
        <v>1111000</v>
      </c>
      <c r="P3" s="241" t="s">
        <v>690</v>
      </c>
      <c r="Q3" s="241" t="s">
        <v>203</v>
      </c>
      <c r="R3" s="241" t="s">
        <v>488</v>
      </c>
      <c r="S3" s="221" t="s">
        <v>1422</v>
      </c>
      <c r="T3" s="221" t="s">
        <v>121</v>
      </c>
      <c r="U3" s="242" t="s">
        <v>168</v>
      </c>
      <c r="V3" s="221" t="s">
        <v>503</v>
      </c>
      <c r="W3" s="221" t="s">
        <v>506</v>
      </c>
      <c r="X3" s="221" t="s">
        <v>510</v>
      </c>
      <c r="Y3" s="221" t="s">
        <v>571</v>
      </c>
      <c r="Z3" s="202" t="s">
        <v>581</v>
      </c>
      <c r="AA3" s="237" t="s">
        <v>645</v>
      </c>
      <c r="AB3" s="203" t="s">
        <v>577</v>
      </c>
      <c r="AC3" s="205"/>
      <c r="AD3" s="205" t="s">
        <v>578</v>
      </c>
      <c r="AE3" s="221" t="s">
        <v>863</v>
      </c>
      <c r="AF3" s="221" t="s">
        <v>1004</v>
      </c>
      <c r="AG3" s="221" t="s">
        <v>1003</v>
      </c>
      <c r="AH3" s="221" t="s">
        <v>871</v>
      </c>
      <c r="AI3" s="237" t="s">
        <v>903</v>
      </c>
      <c r="AJ3" s="237" t="s">
        <v>914</v>
      </c>
      <c r="AK3" s="237" t="s">
        <v>922</v>
      </c>
      <c r="AL3" s="221" t="s">
        <v>882</v>
      </c>
      <c r="AM3" s="221" t="s">
        <v>661</v>
      </c>
      <c r="AN3" s="221" t="s">
        <v>468</v>
      </c>
      <c r="AO3" s="221" t="s">
        <v>1413</v>
      </c>
      <c r="AP3" s="345" t="s">
        <v>1199</v>
      </c>
      <c r="AQ3" s="221" t="s">
        <v>772</v>
      </c>
      <c r="AR3" s="221" t="s">
        <v>773</v>
      </c>
      <c r="AS3" s="221" t="s">
        <v>774</v>
      </c>
      <c r="AT3" s="221" t="s">
        <v>775</v>
      </c>
      <c r="AU3" s="221" t="s">
        <v>775</v>
      </c>
      <c r="AV3" s="221" t="s">
        <v>776</v>
      </c>
      <c r="AW3" s="221" t="s">
        <v>945</v>
      </c>
      <c r="AX3" s="221" t="s">
        <v>954</v>
      </c>
      <c r="AY3" s="221" t="s">
        <v>966</v>
      </c>
      <c r="AZ3" s="221" t="s">
        <v>970</v>
      </c>
      <c r="BA3" s="221" t="s">
        <v>962</v>
      </c>
      <c r="BB3" s="221" t="s">
        <v>974</v>
      </c>
      <c r="BC3" s="221">
        <v>1.41</v>
      </c>
      <c r="BD3" s="221" t="s">
        <v>1014</v>
      </c>
      <c r="BE3" s="221" t="s">
        <v>1018</v>
      </c>
      <c r="BF3" s="345" t="s">
        <v>1019</v>
      </c>
      <c r="BG3" s="221" t="s">
        <v>1034</v>
      </c>
      <c r="BH3" s="345">
        <v>200000</v>
      </c>
      <c r="BI3" s="345">
        <v>1000000</v>
      </c>
      <c r="BJ3" s="221" t="s">
        <v>1105</v>
      </c>
      <c r="BK3" s="221" t="s">
        <v>1132</v>
      </c>
      <c r="BL3" s="221" t="s">
        <v>1135</v>
      </c>
      <c r="BM3" s="221" t="s">
        <v>1136</v>
      </c>
      <c r="BN3" s="221" t="s">
        <v>1146</v>
      </c>
    </row>
    <row r="4" spans="1:68" x14ac:dyDescent="0.2">
      <c r="A4" s="238" t="s">
        <v>152</v>
      </c>
      <c r="B4" s="238" t="s">
        <v>262</v>
      </c>
      <c r="C4" s="238" t="s">
        <v>130</v>
      </c>
      <c r="D4" s="221" t="s">
        <v>273</v>
      </c>
      <c r="E4" s="221" t="s">
        <v>281</v>
      </c>
      <c r="F4" s="221" t="s">
        <v>291</v>
      </c>
      <c r="G4" s="221" t="s">
        <v>275</v>
      </c>
      <c r="H4" s="221" t="s">
        <v>1127</v>
      </c>
      <c r="I4" s="397">
        <v>0.95</v>
      </c>
      <c r="J4" s="221" t="s">
        <v>1129</v>
      </c>
      <c r="L4" s="203" t="s">
        <v>420</v>
      </c>
      <c r="M4" s="203" t="s">
        <v>274</v>
      </c>
      <c r="N4" s="203" t="s">
        <v>304</v>
      </c>
      <c r="O4" s="205">
        <v>1112000</v>
      </c>
      <c r="P4" s="241" t="s">
        <v>559</v>
      </c>
      <c r="Q4" s="241"/>
      <c r="R4" s="241" t="s">
        <v>489</v>
      </c>
      <c r="S4" s="221" t="s">
        <v>1124</v>
      </c>
      <c r="T4" s="221" t="s">
        <v>122</v>
      </c>
      <c r="U4" s="242" t="s">
        <v>196</v>
      </c>
      <c r="X4" s="221" t="s">
        <v>509</v>
      </c>
      <c r="Y4" s="221" t="s">
        <v>570</v>
      </c>
      <c r="Z4" s="202" t="s">
        <v>586</v>
      </c>
      <c r="AA4" s="237" t="s">
        <v>646</v>
      </c>
      <c r="AB4" s="203" t="s">
        <v>579</v>
      </c>
      <c r="AC4" s="205"/>
      <c r="AD4" s="205" t="s">
        <v>578</v>
      </c>
      <c r="AE4" s="221" t="s">
        <v>864</v>
      </c>
      <c r="AF4" s="221" t="s">
        <v>865</v>
      </c>
      <c r="AG4" s="221" t="s">
        <v>869</v>
      </c>
      <c r="AH4" s="221" t="s">
        <v>872</v>
      </c>
      <c r="AI4" s="237" t="s">
        <v>904</v>
      </c>
      <c r="AJ4" s="237" t="s">
        <v>915</v>
      </c>
      <c r="AK4" s="237" t="s">
        <v>923</v>
      </c>
      <c r="AL4" s="221" t="s">
        <v>883</v>
      </c>
      <c r="AM4" s="221" t="s">
        <v>662</v>
      </c>
      <c r="AN4" s="221" t="s">
        <v>468</v>
      </c>
      <c r="AO4" s="221" t="s">
        <v>1413</v>
      </c>
      <c r="AP4" s="345" t="s">
        <v>1200</v>
      </c>
      <c r="AQ4" s="221" t="s">
        <v>772</v>
      </c>
      <c r="AR4" s="221" t="s">
        <v>777</v>
      </c>
      <c r="AS4" s="221" t="s">
        <v>774</v>
      </c>
      <c r="AT4" s="221" t="s">
        <v>775</v>
      </c>
      <c r="AU4" s="221" t="s">
        <v>775</v>
      </c>
      <c r="AV4" s="221" t="s">
        <v>778</v>
      </c>
      <c r="AW4" s="221" t="s">
        <v>944</v>
      </c>
      <c r="AY4" s="221" t="s">
        <v>967</v>
      </c>
      <c r="AZ4" s="221" t="s">
        <v>971</v>
      </c>
      <c r="BA4" s="221" t="s">
        <v>963</v>
      </c>
      <c r="BB4" s="221" t="s">
        <v>975</v>
      </c>
      <c r="BC4" s="221">
        <v>1.73</v>
      </c>
      <c r="BD4" s="221" t="s">
        <v>1015</v>
      </c>
      <c r="BE4" s="221" t="s">
        <v>571</v>
      </c>
      <c r="BF4" s="345" t="s">
        <v>1020</v>
      </c>
      <c r="BG4" s="221" t="s">
        <v>1035</v>
      </c>
      <c r="BH4" s="345">
        <v>200000</v>
      </c>
      <c r="BI4" s="345">
        <v>1000000</v>
      </c>
      <c r="BJ4" s="221" t="s">
        <v>1106</v>
      </c>
      <c r="BL4" s="221" t="s">
        <v>1137</v>
      </c>
      <c r="BM4" s="221" t="s">
        <v>1138</v>
      </c>
      <c r="BN4" s="221" t="s">
        <v>1147</v>
      </c>
    </row>
    <row r="5" spans="1:68" x14ac:dyDescent="0.2">
      <c r="A5" s="238" t="s">
        <v>163</v>
      </c>
      <c r="B5" s="238" t="s">
        <v>263</v>
      </c>
      <c r="C5" s="238" t="s">
        <v>131</v>
      </c>
      <c r="D5" s="221" t="s">
        <v>272</v>
      </c>
      <c r="E5" s="221" t="s">
        <v>280</v>
      </c>
      <c r="F5" s="221" t="s">
        <v>290</v>
      </c>
      <c r="G5" s="221" t="s">
        <v>276</v>
      </c>
      <c r="H5" s="221" t="s">
        <v>1389</v>
      </c>
      <c r="I5" s="397">
        <v>0.95</v>
      </c>
      <c r="J5" s="221" t="s">
        <v>300</v>
      </c>
      <c r="L5" s="203" t="s">
        <v>421</v>
      </c>
      <c r="M5" s="203" t="s">
        <v>428</v>
      </c>
      <c r="N5" s="203" t="s">
        <v>305</v>
      </c>
      <c r="O5" s="205">
        <v>1118100</v>
      </c>
      <c r="P5" s="241"/>
      <c r="Q5" s="241"/>
      <c r="R5" s="241" t="s">
        <v>482</v>
      </c>
      <c r="S5" s="221" t="s">
        <v>476</v>
      </c>
      <c r="T5" s="221" t="s">
        <v>123</v>
      </c>
      <c r="U5" s="242" t="s">
        <v>169</v>
      </c>
      <c r="X5" s="221" t="s">
        <v>511</v>
      </c>
      <c r="Z5" s="202" t="s">
        <v>591</v>
      </c>
      <c r="AA5" s="237" t="s">
        <v>647</v>
      </c>
      <c r="AB5" s="203" t="s">
        <v>580</v>
      </c>
      <c r="AC5" s="205"/>
      <c r="AD5" s="205" t="s">
        <v>578</v>
      </c>
      <c r="AE5" s="221" t="s">
        <v>866</v>
      </c>
      <c r="AF5" s="221" t="s">
        <v>728</v>
      </c>
      <c r="AG5" s="221" t="s">
        <v>870</v>
      </c>
      <c r="AH5" s="221" t="s">
        <v>873</v>
      </c>
      <c r="AI5" s="237" t="s">
        <v>1312</v>
      </c>
      <c r="AJ5" s="237" t="s">
        <v>916</v>
      </c>
      <c r="AK5" s="237" t="s">
        <v>1319</v>
      </c>
      <c r="AL5" s="237" t="s">
        <v>904</v>
      </c>
      <c r="AM5" s="221" t="s">
        <v>663</v>
      </c>
      <c r="AN5" s="221" t="s">
        <v>468</v>
      </c>
      <c r="AO5" s="221" t="s">
        <v>1412</v>
      </c>
      <c r="AP5" s="345" t="s">
        <v>1201</v>
      </c>
      <c r="AQ5" s="221" t="s">
        <v>772</v>
      </c>
      <c r="AR5" s="221" t="s">
        <v>779</v>
      </c>
      <c r="AS5" s="221" t="s">
        <v>774</v>
      </c>
      <c r="AT5" s="221">
        <v>80</v>
      </c>
      <c r="AU5" s="221">
        <v>2017</v>
      </c>
      <c r="AV5" s="221">
        <v>100</v>
      </c>
      <c r="AW5" s="221" t="s">
        <v>943</v>
      </c>
      <c r="AY5" s="221" t="s">
        <v>968</v>
      </c>
      <c r="AZ5" s="221" t="s">
        <v>972</v>
      </c>
      <c r="BA5" s="221" t="s">
        <v>964</v>
      </c>
      <c r="BB5" s="221" t="s">
        <v>976</v>
      </c>
      <c r="BC5" s="221">
        <v>2</v>
      </c>
      <c r="BD5" s="221" t="s">
        <v>1092</v>
      </c>
      <c r="BF5" s="345" t="s">
        <v>1021</v>
      </c>
      <c r="BG5" s="221" t="s">
        <v>1036</v>
      </c>
      <c r="BH5" s="345">
        <v>200000</v>
      </c>
      <c r="BI5" s="345">
        <v>1000000</v>
      </c>
      <c r="BJ5" s="221" t="s">
        <v>1107</v>
      </c>
      <c r="BL5" s="221" t="s">
        <v>1139</v>
      </c>
      <c r="BM5" s="221" t="s">
        <v>1140</v>
      </c>
      <c r="BN5" s="221" t="s">
        <v>1148</v>
      </c>
    </row>
    <row r="6" spans="1:68" x14ac:dyDescent="0.2">
      <c r="A6" s="238" t="s">
        <v>210</v>
      </c>
      <c r="B6" s="238" t="s">
        <v>264</v>
      </c>
      <c r="C6" s="238" t="s">
        <v>132</v>
      </c>
      <c r="G6" s="221" t="s">
        <v>282</v>
      </c>
      <c r="H6" s="221" t="s">
        <v>1390</v>
      </c>
      <c r="I6" s="397">
        <v>0.95</v>
      </c>
      <c r="J6" s="221" t="s">
        <v>301</v>
      </c>
      <c r="L6" s="203" t="s">
        <v>422</v>
      </c>
      <c r="M6" s="203" t="s">
        <v>422</v>
      </c>
      <c r="N6" s="203" t="s">
        <v>306</v>
      </c>
      <c r="O6" s="205">
        <v>1122000</v>
      </c>
      <c r="P6" s="241"/>
      <c r="Q6" s="241"/>
      <c r="R6" s="241" t="s">
        <v>483</v>
      </c>
      <c r="S6" s="221" t="s">
        <v>477</v>
      </c>
      <c r="T6" s="221" t="s">
        <v>124</v>
      </c>
      <c r="U6" s="242" t="s">
        <v>170</v>
      </c>
      <c r="X6" s="221" t="s">
        <v>512</v>
      </c>
      <c r="Z6" s="202" t="s">
        <v>598</v>
      </c>
      <c r="AA6" s="237" t="s">
        <v>648</v>
      </c>
      <c r="AB6" s="237" t="s">
        <v>645</v>
      </c>
      <c r="AC6" s="204"/>
      <c r="AD6" s="204"/>
      <c r="AH6" s="237" t="s">
        <v>1003</v>
      </c>
      <c r="AI6" s="237"/>
      <c r="AJ6" s="237"/>
      <c r="AK6" s="237"/>
      <c r="AL6" s="221" t="s">
        <v>884</v>
      </c>
      <c r="AM6" s="221" t="s">
        <v>664</v>
      </c>
      <c r="AN6" s="221" t="s">
        <v>468</v>
      </c>
      <c r="AO6" s="221" t="s">
        <v>1413</v>
      </c>
      <c r="AP6" s="345" t="s">
        <v>1202</v>
      </c>
      <c r="AQ6" s="221" t="s">
        <v>92</v>
      </c>
      <c r="AR6" s="221" t="s">
        <v>780</v>
      </c>
      <c r="AS6" s="221" t="s">
        <v>774</v>
      </c>
      <c r="AT6" s="221">
        <v>0</v>
      </c>
      <c r="AU6" s="221" t="s">
        <v>3</v>
      </c>
      <c r="AV6" s="221">
        <v>21</v>
      </c>
      <c r="AW6" s="221" t="s">
        <v>942</v>
      </c>
      <c r="BB6" s="221" t="s">
        <v>977</v>
      </c>
      <c r="BC6" s="221">
        <v>1.41</v>
      </c>
      <c r="BD6" s="221" t="s">
        <v>1016</v>
      </c>
      <c r="BF6" s="345" t="s">
        <v>1022</v>
      </c>
      <c r="BG6" s="221" t="s">
        <v>1037</v>
      </c>
      <c r="BH6" s="345">
        <v>200000</v>
      </c>
      <c r="BI6" s="345">
        <v>1000000</v>
      </c>
      <c r="BJ6" s="221" t="s">
        <v>1108</v>
      </c>
      <c r="BL6" s="221" t="s">
        <v>1141</v>
      </c>
      <c r="BM6" s="221" t="s">
        <v>1142</v>
      </c>
      <c r="BN6" s="221" t="s">
        <v>1149</v>
      </c>
    </row>
    <row r="7" spans="1:68" x14ac:dyDescent="0.2">
      <c r="A7" s="238" t="s">
        <v>224</v>
      </c>
      <c r="B7" s="238" t="s">
        <v>265</v>
      </c>
      <c r="C7" s="238" t="s">
        <v>133</v>
      </c>
      <c r="G7" s="221" t="s">
        <v>277</v>
      </c>
      <c r="H7" s="221" t="s">
        <v>1391</v>
      </c>
      <c r="I7" s="397">
        <v>0.95</v>
      </c>
      <c r="J7" s="221" t="s">
        <v>302</v>
      </c>
      <c r="L7" s="203" t="s">
        <v>423</v>
      </c>
      <c r="M7" s="203" t="s">
        <v>198</v>
      </c>
      <c r="N7" s="203" t="s">
        <v>307</v>
      </c>
      <c r="O7" s="205">
        <v>1123000</v>
      </c>
      <c r="P7" s="241"/>
      <c r="Q7" s="241"/>
      <c r="R7" s="241" t="s">
        <v>484</v>
      </c>
      <c r="S7" s="221" t="s">
        <v>1123</v>
      </c>
      <c r="U7" s="242" t="s">
        <v>171</v>
      </c>
      <c r="Z7" s="202" t="s">
        <v>604</v>
      </c>
      <c r="AA7" s="237" t="s">
        <v>649</v>
      </c>
      <c r="AB7" s="203" t="s">
        <v>582</v>
      </c>
      <c r="AC7" s="205" t="s">
        <v>583</v>
      </c>
      <c r="AD7" s="205" t="s">
        <v>578</v>
      </c>
      <c r="AH7" s="221" t="s">
        <v>874</v>
      </c>
      <c r="AI7" s="237" t="s">
        <v>990</v>
      </c>
      <c r="AJ7" s="237" t="s">
        <v>994</v>
      </c>
      <c r="AK7" s="237" t="s">
        <v>999</v>
      </c>
      <c r="AL7" s="221" t="s">
        <v>885</v>
      </c>
      <c r="AM7" s="221" t="s">
        <v>665</v>
      </c>
      <c r="AN7" s="221" t="s">
        <v>203</v>
      </c>
      <c r="AO7" s="221" t="s">
        <v>1412</v>
      </c>
      <c r="AP7" s="345" t="s">
        <v>1192</v>
      </c>
      <c r="AQ7" s="221" t="s">
        <v>92</v>
      </c>
      <c r="AR7" s="221" t="s">
        <v>781</v>
      </c>
      <c r="AS7" s="221" t="s">
        <v>782</v>
      </c>
      <c r="AT7" s="221">
        <v>0</v>
      </c>
      <c r="AU7" s="221" t="s">
        <v>3</v>
      </c>
      <c r="AV7" s="221">
        <v>15</v>
      </c>
      <c r="AW7" s="221" t="s">
        <v>1440</v>
      </c>
      <c r="BB7" s="221" t="s">
        <v>978</v>
      </c>
      <c r="BC7" s="221">
        <v>2</v>
      </c>
      <c r="BF7" s="345" t="s">
        <v>1023</v>
      </c>
      <c r="BG7" s="221" t="s">
        <v>1038</v>
      </c>
      <c r="BH7" s="345">
        <v>200000</v>
      </c>
      <c r="BI7" s="345">
        <v>1000000</v>
      </c>
      <c r="BL7" s="221" t="s">
        <v>1143</v>
      </c>
      <c r="BM7" s="221" t="s">
        <v>1144</v>
      </c>
      <c r="BN7" s="221" t="s">
        <v>1150</v>
      </c>
    </row>
    <row r="8" spans="1:68" x14ac:dyDescent="0.2">
      <c r="A8" s="238" t="s">
        <v>234</v>
      </c>
      <c r="B8" s="238" t="s">
        <v>266</v>
      </c>
      <c r="C8" s="238" t="s">
        <v>134</v>
      </c>
      <c r="G8" s="237" t="s">
        <v>280</v>
      </c>
      <c r="H8" s="221" t="s">
        <v>1392</v>
      </c>
      <c r="I8" s="397">
        <v>1</v>
      </c>
      <c r="J8" s="237"/>
      <c r="K8" s="237"/>
      <c r="L8" s="203" t="s">
        <v>424</v>
      </c>
      <c r="M8" s="203" t="s">
        <v>429</v>
      </c>
      <c r="N8" s="203" t="s">
        <v>308</v>
      </c>
      <c r="O8" s="205">
        <v>1123200</v>
      </c>
      <c r="P8" s="241"/>
      <c r="Q8" s="241"/>
      <c r="R8" s="241" t="s">
        <v>485</v>
      </c>
      <c r="S8" s="221" t="s">
        <v>1126</v>
      </c>
      <c r="U8" s="242" t="s">
        <v>128</v>
      </c>
      <c r="Z8" s="202" t="s">
        <v>614</v>
      </c>
      <c r="AA8" s="237" t="s">
        <v>650</v>
      </c>
      <c r="AB8" s="203" t="s">
        <v>584</v>
      </c>
      <c r="AC8" s="205" t="s">
        <v>578</v>
      </c>
      <c r="AD8" s="205" t="s">
        <v>578</v>
      </c>
      <c r="AH8" s="221" t="s">
        <v>875</v>
      </c>
      <c r="AI8" s="237" t="s">
        <v>991</v>
      </c>
      <c r="AJ8" s="237" t="s">
        <v>995</v>
      </c>
      <c r="AK8" s="237" t="s">
        <v>1000</v>
      </c>
      <c r="AL8" s="237" t="s">
        <v>1312</v>
      </c>
      <c r="AM8" s="221" t="s">
        <v>666</v>
      </c>
      <c r="AN8" s="221" t="s">
        <v>203</v>
      </c>
      <c r="AO8" s="221" t="s">
        <v>1412</v>
      </c>
      <c r="AP8" s="345" t="s">
        <v>1193</v>
      </c>
      <c r="AQ8" s="221" t="s">
        <v>92</v>
      </c>
      <c r="AR8" s="221" t="s">
        <v>783</v>
      </c>
      <c r="AS8" s="221" t="s">
        <v>782</v>
      </c>
      <c r="AT8" s="221">
        <v>0</v>
      </c>
      <c r="AU8" s="221" t="s">
        <v>3</v>
      </c>
      <c r="AV8" s="221">
        <v>15</v>
      </c>
      <c r="AW8" s="221" t="s">
        <v>941</v>
      </c>
      <c r="BB8" s="221" t="s">
        <v>979</v>
      </c>
      <c r="BC8" s="221">
        <v>2.4500000000000002</v>
      </c>
      <c r="BF8" s="345" t="s">
        <v>1364</v>
      </c>
      <c r="BG8" s="221" t="s">
        <v>1039</v>
      </c>
      <c r="BH8" s="345">
        <v>200000</v>
      </c>
      <c r="BI8" s="345">
        <v>1000000</v>
      </c>
      <c r="BN8" s="221" t="s">
        <v>1151</v>
      </c>
    </row>
    <row r="9" spans="1:68" x14ac:dyDescent="0.2">
      <c r="A9" s="238" t="s">
        <v>16</v>
      </c>
      <c r="B9" s="238" t="s">
        <v>267</v>
      </c>
      <c r="C9" s="238" t="s">
        <v>135</v>
      </c>
      <c r="G9" s="221" t="s">
        <v>283</v>
      </c>
      <c r="H9" s="221" t="s">
        <v>1393</v>
      </c>
      <c r="I9" s="397">
        <v>1</v>
      </c>
      <c r="L9" s="203" t="s">
        <v>425</v>
      </c>
      <c r="M9" s="203" t="s">
        <v>430</v>
      </c>
      <c r="N9" s="203" t="s">
        <v>309</v>
      </c>
      <c r="O9" s="205">
        <v>1124000</v>
      </c>
      <c r="P9" s="241"/>
      <c r="Q9" s="241"/>
      <c r="S9" s="221" t="s">
        <v>478</v>
      </c>
      <c r="U9" s="242" t="s">
        <v>172</v>
      </c>
      <c r="Z9" s="202" t="s">
        <v>618</v>
      </c>
      <c r="AA9" s="237" t="s">
        <v>651</v>
      </c>
      <c r="AB9" s="203" t="s">
        <v>585</v>
      </c>
      <c r="AC9" s="205" t="s">
        <v>578</v>
      </c>
      <c r="AD9" s="205"/>
      <c r="AH9" s="221" t="s">
        <v>876</v>
      </c>
      <c r="AI9" s="237" t="s">
        <v>992</v>
      </c>
      <c r="AJ9" s="237" t="s">
        <v>996</v>
      </c>
      <c r="AK9" s="237" t="s">
        <v>1001</v>
      </c>
      <c r="AL9" s="221" t="s">
        <v>886</v>
      </c>
      <c r="AM9" s="221" t="s">
        <v>667</v>
      </c>
      <c r="AN9" s="221" t="s">
        <v>203</v>
      </c>
      <c r="AO9" s="221" t="s">
        <v>1412</v>
      </c>
      <c r="AP9" s="345" t="s">
        <v>1194</v>
      </c>
      <c r="AQ9" s="221" t="s">
        <v>92</v>
      </c>
      <c r="AR9" s="221" t="s">
        <v>784</v>
      </c>
      <c r="AS9" s="221" t="s">
        <v>782</v>
      </c>
      <c r="AT9" s="221">
        <v>0</v>
      </c>
      <c r="AU9" s="221" t="s">
        <v>3</v>
      </c>
      <c r="AV9" s="221">
        <v>15</v>
      </c>
      <c r="BB9" s="221" t="s">
        <v>980</v>
      </c>
      <c r="BC9" s="221">
        <v>2.83</v>
      </c>
      <c r="BF9" s="345" t="s">
        <v>1367</v>
      </c>
      <c r="BG9" s="221" t="s">
        <v>1040</v>
      </c>
      <c r="BH9" s="345">
        <v>200000</v>
      </c>
      <c r="BI9" s="345">
        <v>1000000</v>
      </c>
      <c r="BN9" s="221" t="s">
        <v>1152</v>
      </c>
    </row>
    <row r="10" spans="1:68" x14ac:dyDescent="0.2">
      <c r="C10" s="238" t="s">
        <v>136</v>
      </c>
      <c r="G10" s="237" t="s">
        <v>1423</v>
      </c>
      <c r="H10" s="237" t="s">
        <v>290</v>
      </c>
      <c r="I10" s="237"/>
      <c r="J10" s="237"/>
      <c r="K10" s="237"/>
      <c r="L10" s="203" t="s">
        <v>426</v>
      </c>
      <c r="M10" s="203" t="s">
        <v>431</v>
      </c>
      <c r="N10" s="203" t="s">
        <v>310</v>
      </c>
      <c r="O10" s="205">
        <v>1132000</v>
      </c>
      <c r="P10" s="241"/>
      <c r="Q10" s="241"/>
      <c r="R10" s="241"/>
      <c r="S10" s="221" t="s">
        <v>1121</v>
      </c>
      <c r="U10" s="242" t="s">
        <v>173</v>
      </c>
      <c r="Z10" s="202" t="s">
        <v>626</v>
      </c>
      <c r="AA10" s="237" t="s">
        <v>652</v>
      </c>
      <c r="AB10" s="237" t="s">
        <v>646</v>
      </c>
      <c r="AC10" s="204"/>
      <c r="AD10" s="204"/>
      <c r="AH10" s="221" t="s">
        <v>877</v>
      </c>
      <c r="AI10" s="237" t="s">
        <v>993</v>
      </c>
      <c r="AJ10" s="237" t="s">
        <v>997</v>
      </c>
      <c r="AK10" s="237" t="s">
        <v>1002</v>
      </c>
      <c r="AL10" s="237" t="s">
        <v>990</v>
      </c>
      <c r="AM10" s="221" t="s">
        <v>668</v>
      </c>
      <c r="AN10" s="221" t="s">
        <v>203</v>
      </c>
      <c r="AO10" s="221" t="s">
        <v>1412</v>
      </c>
      <c r="AP10" s="345" t="s">
        <v>1195</v>
      </c>
      <c r="AQ10" s="221" t="s">
        <v>92</v>
      </c>
      <c r="AR10" s="221" t="s">
        <v>785</v>
      </c>
      <c r="AS10" s="221" t="s">
        <v>782</v>
      </c>
      <c r="AT10" s="221">
        <v>0</v>
      </c>
      <c r="AU10" s="221" t="s">
        <v>3</v>
      </c>
      <c r="AV10" s="221">
        <v>15</v>
      </c>
      <c r="BB10" s="221" t="s">
        <v>981</v>
      </c>
      <c r="BC10" s="221">
        <v>1.73</v>
      </c>
      <c r="BG10" s="221" t="s">
        <v>1041</v>
      </c>
      <c r="BH10" s="345">
        <v>200000</v>
      </c>
      <c r="BI10" s="345">
        <v>1000000</v>
      </c>
      <c r="BN10" s="237" t="s">
        <v>1136</v>
      </c>
    </row>
    <row r="11" spans="1:68" x14ac:dyDescent="0.2">
      <c r="C11" s="238" t="s">
        <v>137</v>
      </c>
      <c r="G11" s="221" t="s">
        <v>284</v>
      </c>
      <c r="H11" s="221" t="s">
        <v>283</v>
      </c>
      <c r="I11" s="397">
        <v>0.8</v>
      </c>
      <c r="N11" s="203" t="s">
        <v>311</v>
      </c>
      <c r="O11" s="205">
        <v>1133000</v>
      </c>
      <c r="P11" s="241"/>
      <c r="Q11" s="241"/>
      <c r="R11" s="241"/>
      <c r="S11" s="221" t="s">
        <v>1030</v>
      </c>
      <c r="U11" s="242" t="s">
        <v>174</v>
      </c>
      <c r="Z11" s="202" t="s">
        <v>630</v>
      </c>
      <c r="AA11" s="237" t="s">
        <v>653</v>
      </c>
      <c r="AB11" s="203" t="s">
        <v>587</v>
      </c>
      <c r="AC11" s="205"/>
      <c r="AD11" s="205" t="s">
        <v>588</v>
      </c>
      <c r="AH11" s="221" t="s">
        <v>873</v>
      </c>
      <c r="AI11" s="237" t="s">
        <v>1313</v>
      </c>
      <c r="AJ11" s="237" t="s">
        <v>998</v>
      </c>
      <c r="AK11" s="237" t="s">
        <v>1320</v>
      </c>
      <c r="AL11" s="221" t="s">
        <v>887</v>
      </c>
      <c r="AM11" s="221" t="s">
        <v>669</v>
      </c>
      <c r="AN11" s="221" t="s">
        <v>203</v>
      </c>
      <c r="AO11" s="221" t="s">
        <v>1412</v>
      </c>
      <c r="AP11" s="345" t="s">
        <v>1196</v>
      </c>
      <c r="AQ11" s="221" t="s">
        <v>92</v>
      </c>
      <c r="AR11" s="221" t="s">
        <v>786</v>
      </c>
      <c r="AS11" s="221" t="s">
        <v>782</v>
      </c>
      <c r="AT11" s="221">
        <v>0</v>
      </c>
      <c r="AU11" s="221" t="s">
        <v>3</v>
      </c>
      <c r="AV11" s="221">
        <v>5</v>
      </c>
      <c r="BB11" s="221" t="s">
        <v>982</v>
      </c>
      <c r="BC11" s="221">
        <v>2.4500000000000002</v>
      </c>
      <c r="BG11" s="221" t="s">
        <v>1042</v>
      </c>
      <c r="BH11" s="345">
        <v>200000</v>
      </c>
      <c r="BI11" s="345">
        <v>1000000</v>
      </c>
      <c r="BN11" s="221" t="s">
        <v>1153</v>
      </c>
    </row>
    <row r="12" spans="1:68" x14ac:dyDescent="0.2">
      <c r="C12" s="238" t="s">
        <v>138</v>
      </c>
      <c r="G12" s="221" t="s">
        <v>285</v>
      </c>
      <c r="H12" s="237" t="s">
        <v>1424</v>
      </c>
      <c r="I12" s="237"/>
      <c r="N12" s="203" t="s">
        <v>312</v>
      </c>
      <c r="O12" s="205">
        <v>1142000</v>
      </c>
      <c r="P12" s="241"/>
      <c r="Q12" s="241"/>
      <c r="R12" s="241"/>
      <c r="S12" s="221" t="s">
        <v>1026</v>
      </c>
      <c r="U12" s="242" t="s">
        <v>175</v>
      </c>
      <c r="Z12" s="202" t="s">
        <v>636</v>
      </c>
      <c r="AA12" s="237" t="s">
        <v>654</v>
      </c>
      <c r="AB12" s="203" t="s">
        <v>589</v>
      </c>
      <c r="AC12" s="205" t="s">
        <v>578</v>
      </c>
      <c r="AD12" s="205"/>
      <c r="AH12" s="237" t="s">
        <v>870</v>
      </c>
      <c r="AI12" s="237"/>
      <c r="AJ12" s="237"/>
      <c r="AK12" s="237"/>
      <c r="AL12" s="237" t="s">
        <v>991</v>
      </c>
      <c r="AM12" s="221" t="s">
        <v>670</v>
      </c>
      <c r="AN12" s="221" t="s">
        <v>203</v>
      </c>
      <c r="AO12" s="221" t="s">
        <v>1412</v>
      </c>
      <c r="AP12" s="345" t="s">
        <v>1192</v>
      </c>
      <c r="AQ12" s="221" t="s">
        <v>92</v>
      </c>
      <c r="AR12" s="221" t="s">
        <v>787</v>
      </c>
      <c r="AS12" s="221" t="s">
        <v>782</v>
      </c>
      <c r="AT12" s="221">
        <v>0</v>
      </c>
      <c r="AU12" s="221" t="s">
        <v>3</v>
      </c>
      <c r="AV12" s="221">
        <v>3</v>
      </c>
      <c r="BB12" s="221" t="s">
        <v>983</v>
      </c>
      <c r="BC12" s="221">
        <v>3</v>
      </c>
      <c r="BG12" s="221" t="s">
        <v>1043</v>
      </c>
      <c r="BH12" s="345">
        <v>200000</v>
      </c>
      <c r="BI12" s="345">
        <v>1000000</v>
      </c>
      <c r="BN12" s="221" t="s">
        <v>1154</v>
      </c>
    </row>
    <row r="13" spans="1:68" x14ac:dyDescent="0.2">
      <c r="C13" s="238" t="s">
        <v>139</v>
      </c>
      <c r="G13" s="221" t="s">
        <v>1427</v>
      </c>
      <c r="H13" s="221" t="s">
        <v>9</v>
      </c>
      <c r="I13" s="397">
        <v>0.9</v>
      </c>
      <c r="J13" s="237"/>
      <c r="K13" s="237"/>
      <c r="N13" s="202" t="s">
        <v>419</v>
      </c>
      <c r="P13" s="241"/>
      <c r="Q13" s="241"/>
      <c r="R13" s="241"/>
      <c r="S13" s="221" t="s">
        <v>479</v>
      </c>
      <c r="U13" s="242" t="s">
        <v>176</v>
      </c>
      <c r="AB13" s="203" t="s">
        <v>590</v>
      </c>
      <c r="AC13" s="205" t="s">
        <v>578</v>
      </c>
      <c r="AD13" s="205"/>
      <c r="AH13" s="221" t="s">
        <v>878</v>
      </c>
      <c r="AI13" s="237" t="s">
        <v>905</v>
      </c>
      <c r="AJ13" s="237" t="s">
        <v>917</v>
      </c>
      <c r="AK13" s="237" t="s">
        <v>924</v>
      </c>
      <c r="AL13" s="221" t="s">
        <v>889</v>
      </c>
      <c r="AM13" s="221" t="s">
        <v>671</v>
      </c>
      <c r="AN13" s="221" t="s">
        <v>203</v>
      </c>
      <c r="AO13" s="221" t="s">
        <v>1412</v>
      </c>
      <c r="AP13" s="345" t="s">
        <v>1203</v>
      </c>
      <c r="AQ13" s="221" t="s">
        <v>92</v>
      </c>
      <c r="AR13" s="221" t="s">
        <v>788</v>
      </c>
      <c r="AS13" s="221" t="s">
        <v>782</v>
      </c>
      <c r="AT13" s="221">
        <v>0</v>
      </c>
      <c r="AU13" s="221" t="s">
        <v>3</v>
      </c>
      <c r="AV13" s="221">
        <v>3</v>
      </c>
      <c r="BB13" s="221" t="s">
        <v>984</v>
      </c>
      <c r="BC13" s="221">
        <v>3.46</v>
      </c>
      <c r="BG13" s="221" t="s">
        <v>1044</v>
      </c>
      <c r="BH13" s="345">
        <v>200000</v>
      </c>
      <c r="BI13" s="345">
        <v>1000000</v>
      </c>
      <c r="BN13" s="221" t="s">
        <v>1155</v>
      </c>
    </row>
    <row r="14" spans="1:68" x14ac:dyDescent="0.2">
      <c r="C14" s="238" t="s">
        <v>140</v>
      </c>
      <c r="G14" s="237" t="s">
        <v>281</v>
      </c>
      <c r="H14" s="221" t="s">
        <v>1128</v>
      </c>
      <c r="I14" s="397">
        <v>0.9</v>
      </c>
      <c r="N14" s="203" t="s">
        <v>313</v>
      </c>
      <c r="O14" s="205">
        <v>1211000</v>
      </c>
      <c r="U14" s="242" t="s">
        <v>177</v>
      </c>
      <c r="AB14" s="237" t="s">
        <v>647</v>
      </c>
      <c r="AC14" s="204"/>
      <c r="AD14" s="204"/>
      <c r="AH14" s="221" t="s">
        <v>879</v>
      </c>
      <c r="AI14" s="237" t="s">
        <v>907</v>
      </c>
      <c r="AJ14" s="237" t="s">
        <v>918</v>
      </c>
      <c r="AK14" s="237" t="s">
        <v>925</v>
      </c>
      <c r="AL14" s="221" t="s">
        <v>888</v>
      </c>
      <c r="AM14" s="221" t="s">
        <v>672</v>
      </c>
      <c r="AN14" s="221" t="s">
        <v>203</v>
      </c>
      <c r="AO14" s="221" t="s">
        <v>1412</v>
      </c>
      <c r="AP14" s="345" t="s">
        <v>1204</v>
      </c>
      <c r="AQ14" s="221" t="s">
        <v>92</v>
      </c>
      <c r="AR14" s="221" t="s">
        <v>789</v>
      </c>
      <c r="AS14" s="221" t="s">
        <v>782</v>
      </c>
      <c r="AT14" s="221">
        <v>0</v>
      </c>
      <c r="AU14" s="221" t="s">
        <v>3</v>
      </c>
      <c r="AV14" s="221">
        <v>15</v>
      </c>
      <c r="BB14" s="221" t="s">
        <v>985</v>
      </c>
      <c r="BC14" s="221">
        <v>2</v>
      </c>
      <c r="BG14" s="221" t="s">
        <v>1045</v>
      </c>
      <c r="BH14" s="345">
        <v>200000</v>
      </c>
      <c r="BI14" s="345">
        <v>1000000</v>
      </c>
      <c r="BN14" s="221" t="s">
        <v>1156</v>
      </c>
    </row>
    <row r="15" spans="1:68" x14ac:dyDescent="0.2">
      <c r="C15" s="238" t="s">
        <v>141</v>
      </c>
      <c r="G15" s="221" t="s">
        <v>10</v>
      </c>
      <c r="H15" s="221" t="s">
        <v>497</v>
      </c>
      <c r="I15" s="397">
        <v>0.9</v>
      </c>
      <c r="N15" s="203" t="s">
        <v>314</v>
      </c>
      <c r="O15" s="205">
        <v>1211001</v>
      </c>
      <c r="U15" s="242" t="s">
        <v>178</v>
      </c>
      <c r="AB15" s="203" t="s">
        <v>592</v>
      </c>
      <c r="AC15" s="205"/>
      <c r="AD15" s="205" t="s">
        <v>578</v>
      </c>
      <c r="AH15" s="221" t="s">
        <v>880</v>
      </c>
      <c r="AI15" s="237" t="s">
        <v>908</v>
      </c>
      <c r="AJ15" s="237" t="s">
        <v>919</v>
      </c>
      <c r="AK15" s="237" t="s">
        <v>926</v>
      </c>
      <c r="AL15" s="237" t="s">
        <v>992</v>
      </c>
      <c r="AM15" s="221" t="s">
        <v>673</v>
      </c>
      <c r="AN15" s="221" t="s">
        <v>203</v>
      </c>
      <c r="AO15" s="221" t="s">
        <v>1412</v>
      </c>
      <c r="AP15" s="345" t="s">
        <v>1205</v>
      </c>
      <c r="AQ15" s="221" t="s">
        <v>92</v>
      </c>
      <c r="AR15" s="221" t="s">
        <v>790</v>
      </c>
      <c r="AS15" s="221" t="s">
        <v>782</v>
      </c>
      <c r="AT15" s="221">
        <v>0</v>
      </c>
      <c r="AU15" s="221" t="s">
        <v>3</v>
      </c>
      <c r="AV15" s="221">
        <v>210</v>
      </c>
      <c r="BB15" s="221" t="s">
        <v>986</v>
      </c>
      <c r="BC15" s="221">
        <v>2.83</v>
      </c>
      <c r="BG15" s="221" t="s">
        <v>1046</v>
      </c>
      <c r="BH15" s="345">
        <v>200000</v>
      </c>
      <c r="BI15" s="345">
        <v>1000000</v>
      </c>
      <c r="BN15" s="221" t="s">
        <v>1157</v>
      </c>
    </row>
    <row r="16" spans="1:68" x14ac:dyDescent="0.2">
      <c r="C16" s="239" t="s">
        <v>143</v>
      </c>
      <c r="G16" s="221" t="s">
        <v>286</v>
      </c>
      <c r="H16" s="221" t="s">
        <v>498</v>
      </c>
      <c r="I16" s="397">
        <v>0.9</v>
      </c>
      <c r="N16" s="203" t="s">
        <v>315</v>
      </c>
      <c r="O16" s="205">
        <v>1218100</v>
      </c>
      <c r="U16" s="242" t="s">
        <v>179</v>
      </c>
      <c r="AB16" s="203" t="s">
        <v>593</v>
      </c>
      <c r="AC16" s="205"/>
      <c r="AD16" s="205" t="s">
        <v>578</v>
      </c>
      <c r="AH16" s="221" t="s">
        <v>873</v>
      </c>
      <c r="AI16" s="237" t="s">
        <v>1314</v>
      </c>
      <c r="AJ16" s="237" t="s">
        <v>920</v>
      </c>
      <c r="AK16" s="237" t="s">
        <v>1321</v>
      </c>
      <c r="AL16" s="221" t="s">
        <v>890</v>
      </c>
      <c r="AM16" s="221" t="s">
        <v>674</v>
      </c>
      <c r="AN16" s="221" t="s">
        <v>203</v>
      </c>
      <c r="AO16" s="221" t="s">
        <v>1412</v>
      </c>
      <c r="AP16" s="345" t="s">
        <v>1206</v>
      </c>
      <c r="AQ16" s="221" t="s">
        <v>92</v>
      </c>
      <c r="AR16" s="221" t="s">
        <v>788</v>
      </c>
      <c r="AS16" s="221" t="s">
        <v>782</v>
      </c>
      <c r="AT16" s="221">
        <v>0</v>
      </c>
      <c r="AU16" s="221" t="s">
        <v>3</v>
      </c>
      <c r="AV16" s="221">
        <v>1</v>
      </c>
      <c r="BB16" s="221" t="s">
        <v>987</v>
      </c>
      <c r="BC16" s="221">
        <v>3.46</v>
      </c>
      <c r="BG16" s="221" t="s">
        <v>1047</v>
      </c>
      <c r="BH16" s="345">
        <v>200000</v>
      </c>
      <c r="BI16" s="345">
        <v>1000000</v>
      </c>
      <c r="BN16" s="221" t="s">
        <v>1158</v>
      </c>
    </row>
    <row r="17" spans="3:66" x14ac:dyDescent="0.2">
      <c r="C17" s="238" t="s">
        <v>142</v>
      </c>
      <c r="G17" s="221" t="s">
        <v>287</v>
      </c>
      <c r="H17" s="221" t="s">
        <v>1074</v>
      </c>
      <c r="I17" s="397">
        <v>0.9</v>
      </c>
      <c r="N17" s="203" t="s">
        <v>316</v>
      </c>
      <c r="O17" s="205">
        <v>1218201</v>
      </c>
      <c r="U17" s="242" t="s">
        <v>126</v>
      </c>
      <c r="AB17" s="203" t="s">
        <v>594</v>
      </c>
      <c r="AC17" s="205" t="s">
        <v>578</v>
      </c>
      <c r="AD17" s="205"/>
      <c r="AH17" s="237" t="s">
        <v>869</v>
      </c>
      <c r="AL17" s="221" t="s">
        <v>891</v>
      </c>
      <c r="AM17" s="237" t="s">
        <v>915</v>
      </c>
      <c r="AP17" s="345" t="s">
        <v>1207</v>
      </c>
      <c r="BB17" s="221" t="s">
        <v>988</v>
      </c>
      <c r="BC17" s="221">
        <v>4</v>
      </c>
      <c r="BG17" s="221" t="s">
        <v>1048</v>
      </c>
      <c r="BH17" s="345">
        <v>200000</v>
      </c>
      <c r="BI17" s="345">
        <v>1000000</v>
      </c>
      <c r="BN17" s="221" t="s">
        <v>1159</v>
      </c>
    </row>
    <row r="18" spans="3:66" x14ac:dyDescent="0.2">
      <c r="C18" s="238" t="s">
        <v>146</v>
      </c>
      <c r="G18" s="221" t="s">
        <v>282</v>
      </c>
      <c r="H18" s="221" t="s">
        <v>1394</v>
      </c>
      <c r="I18" s="397">
        <v>0.9</v>
      </c>
      <c r="N18" s="203" t="s">
        <v>317</v>
      </c>
      <c r="O18" s="205">
        <v>1219100</v>
      </c>
      <c r="U18" s="242" t="s">
        <v>180</v>
      </c>
      <c r="AB18" s="203" t="s">
        <v>595</v>
      </c>
      <c r="AC18" s="205" t="s">
        <v>588</v>
      </c>
      <c r="AD18" s="205"/>
      <c r="AL18" s="237" t="s">
        <v>993</v>
      </c>
      <c r="AM18" s="221" t="s">
        <v>688</v>
      </c>
      <c r="AN18" s="221" t="s">
        <v>468</v>
      </c>
      <c r="AO18" s="221" t="s">
        <v>1413</v>
      </c>
      <c r="AP18" s="345" t="s">
        <v>1315</v>
      </c>
      <c r="AQ18" s="221" t="s">
        <v>92</v>
      </c>
      <c r="AR18" s="221" t="s">
        <v>791</v>
      </c>
      <c r="AS18" s="221" t="s">
        <v>774</v>
      </c>
      <c r="AT18" s="221" t="s">
        <v>792</v>
      </c>
      <c r="AU18" s="221">
        <v>2017</v>
      </c>
      <c r="AV18" s="221" t="s">
        <v>793</v>
      </c>
      <c r="BG18" s="221" t="s">
        <v>1049</v>
      </c>
      <c r="BH18" s="345">
        <v>200000</v>
      </c>
      <c r="BI18" s="345">
        <v>1000000</v>
      </c>
      <c r="BN18" s="221" t="s">
        <v>1160</v>
      </c>
    </row>
    <row r="19" spans="3:66" x14ac:dyDescent="0.2">
      <c r="C19" s="238" t="s">
        <v>147</v>
      </c>
      <c r="H19" s="221" t="s">
        <v>1395</v>
      </c>
      <c r="I19" s="397">
        <v>0.9</v>
      </c>
      <c r="N19" s="203" t="s">
        <v>318</v>
      </c>
      <c r="O19" s="205">
        <v>1219101</v>
      </c>
      <c r="U19" s="242" t="s">
        <v>181</v>
      </c>
      <c r="AB19" s="203" t="s">
        <v>596</v>
      </c>
      <c r="AC19" s="205"/>
      <c r="AD19" s="205" t="s">
        <v>588</v>
      </c>
      <c r="AL19" s="221" t="s">
        <v>892</v>
      </c>
      <c r="AM19" s="221" t="s">
        <v>689</v>
      </c>
      <c r="AN19" s="221" t="s">
        <v>468</v>
      </c>
      <c r="AO19" s="221" t="s">
        <v>1413</v>
      </c>
      <c r="AP19" s="345" t="s">
        <v>1316</v>
      </c>
      <c r="AQ19" s="221" t="s">
        <v>772</v>
      </c>
      <c r="AR19" s="221" t="s">
        <v>794</v>
      </c>
      <c r="AS19" s="221" t="s">
        <v>774</v>
      </c>
      <c r="AT19" s="221" t="s">
        <v>795</v>
      </c>
      <c r="AU19" s="221">
        <v>2017</v>
      </c>
      <c r="AV19" s="221" t="s">
        <v>808</v>
      </c>
      <c r="BG19" s="221" t="s">
        <v>1050</v>
      </c>
      <c r="BH19" s="345">
        <v>200000</v>
      </c>
      <c r="BI19" s="345">
        <v>1000000</v>
      </c>
      <c r="BN19" s="221" t="s">
        <v>1161</v>
      </c>
    </row>
    <row r="20" spans="3:66" x14ac:dyDescent="0.2">
      <c r="C20" s="238" t="s">
        <v>144</v>
      </c>
      <c r="H20" s="221" t="s">
        <v>293</v>
      </c>
      <c r="I20" s="397">
        <v>0.9</v>
      </c>
      <c r="N20" s="203" t="s">
        <v>319</v>
      </c>
      <c r="O20" s="205">
        <v>1219102</v>
      </c>
      <c r="U20" s="242" t="s">
        <v>182</v>
      </c>
      <c r="AB20" s="203" t="s">
        <v>597</v>
      </c>
      <c r="AC20" s="205" t="s">
        <v>578</v>
      </c>
      <c r="AD20" s="205"/>
      <c r="AL20" s="237" t="s">
        <v>1313</v>
      </c>
      <c r="AM20" s="221" t="s">
        <v>675</v>
      </c>
      <c r="AN20" s="221" t="s">
        <v>203</v>
      </c>
      <c r="AO20" s="221" t="s">
        <v>1412</v>
      </c>
      <c r="AP20" s="345" t="s">
        <v>1208</v>
      </c>
      <c r="AQ20" s="221" t="s">
        <v>92</v>
      </c>
      <c r="AR20" s="221" t="s">
        <v>796</v>
      </c>
      <c r="AS20" s="221" t="s">
        <v>782</v>
      </c>
      <c r="AT20" s="221">
        <v>0</v>
      </c>
      <c r="AU20" s="221" t="s">
        <v>3</v>
      </c>
      <c r="AV20" s="221">
        <v>200</v>
      </c>
      <c r="BG20" s="221" t="s">
        <v>1051</v>
      </c>
      <c r="BH20" s="345">
        <v>200000</v>
      </c>
      <c r="BI20" s="345">
        <v>1000000</v>
      </c>
      <c r="BN20" s="221" t="s">
        <v>1162</v>
      </c>
    </row>
    <row r="21" spans="3:66" x14ac:dyDescent="0.2">
      <c r="C21" s="238" t="s">
        <v>145</v>
      </c>
      <c r="H21" s="221" t="s">
        <v>1396</v>
      </c>
      <c r="I21" s="397">
        <v>0.9</v>
      </c>
      <c r="N21" s="203" t="s">
        <v>320</v>
      </c>
      <c r="O21" s="205">
        <v>1222000</v>
      </c>
      <c r="U21" s="242" t="s">
        <v>183</v>
      </c>
      <c r="AB21" s="237" t="s">
        <v>648</v>
      </c>
      <c r="AC21" s="204"/>
      <c r="AD21" s="204"/>
      <c r="AL21" s="221" t="s">
        <v>893</v>
      </c>
      <c r="AM21" s="221" t="s">
        <v>676</v>
      </c>
      <c r="AN21" s="221" t="s">
        <v>203</v>
      </c>
      <c r="AO21" s="221" t="s">
        <v>1412</v>
      </c>
      <c r="AP21" s="345" t="s">
        <v>1209</v>
      </c>
      <c r="AQ21" s="221" t="s">
        <v>92</v>
      </c>
      <c r="AR21" s="221" t="s">
        <v>797</v>
      </c>
      <c r="AS21" s="221" t="s">
        <v>782</v>
      </c>
      <c r="AT21" s="221">
        <v>0</v>
      </c>
      <c r="AU21" s="221" t="s">
        <v>3</v>
      </c>
      <c r="AV21" s="221">
        <v>20</v>
      </c>
      <c r="BG21" s="221" t="s">
        <v>1052</v>
      </c>
      <c r="BH21" s="345">
        <v>200000</v>
      </c>
      <c r="BI21" s="345">
        <v>1000000</v>
      </c>
      <c r="BN21" s="221" t="s">
        <v>1163</v>
      </c>
    </row>
    <row r="22" spans="3:66" x14ac:dyDescent="0.2">
      <c r="C22" s="238" t="s">
        <v>148</v>
      </c>
      <c r="H22" s="221" t="s">
        <v>1397</v>
      </c>
      <c r="I22" s="397">
        <v>0.9</v>
      </c>
      <c r="N22" s="203" t="s">
        <v>321</v>
      </c>
      <c r="O22" s="205">
        <v>1223000</v>
      </c>
      <c r="U22" s="242" t="s">
        <v>127</v>
      </c>
      <c r="AB22" s="203" t="s">
        <v>599</v>
      </c>
      <c r="AC22" s="205" t="s">
        <v>578</v>
      </c>
      <c r="AD22" s="205"/>
      <c r="AL22" s="237" t="s">
        <v>905</v>
      </c>
      <c r="AM22" s="221" t="s">
        <v>666</v>
      </c>
      <c r="AN22" s="221" t="s">
        <v>203</v>
      </c>
      <c r="AO22" s="221" t="s">
        <v>1412</v>
      </c>
      <c r="AP22" s="345" t="s">
        <v>1210</v>
      </c>
      <c r="AQ22" s="221" t="s">
        <v>92</v>
      </c>
      <c r="AR22" s="221" t="s">
        <v>798</v>
      </c>
      <c r="AS22" s="221" t="s">
        <v>782</v>
      </c>
      <c r="AT22" s="221">
        <v>0</v>
      </c>
      <c r="AU22" s="221" t="s">
        <v>3</v>
      </c>
      <c r="AV22" s="221">
        <v>15</v>
      </c>
      <c r="BG22" s="221" t="s">
        <v>1053</v>
      </c>
      <c r="BH22" s="345">
        <v>200000</v>
      </c>
      <c r="BI22" s="345">
        <v>1000000</v>
      </c>
      <c r="BN22" s="237" t="s">
        <v>1138</v>
      </c>
    </row>
    <row r="23" spans="3:66" x14ac:dyDescent="0.2">
      <c r="C23" s="238" t="s">
        <v>149</v>
      </c>
      <c r="H23" s="221" t="s">
        <v>1398</v>
      </c>
      <c r="I23" s="397">
        <v>0.9</v>
      </c>
      <c r="N23" s="203" t="s">
        <v>322</v>
      </c>
      <c r="O23" s="205">
        <v>1225000</v>
      </c>
      <c r="U23" s="242" t="s">
        <v>184</v>
      </c>
      <c r="AB23" s="203" t="s">
        <v>600</v>
      </c>
      <c r="AC23" s="205"/>
      <c r="AD23" s="205" t="s">
        <v>578</v>
      </c>
      <c r="AL23" s="221" t="s">
        <v>894</v>
      </c>
      <c r="AM23" s="221" t="s">
        <v>677</v>
      </c>
      <c r="AN23" s="221" t="s">
        <v>203</v>
      </c>
      <c r="AO23" s="221" t="s">
        <v>1412</v>
      </c>
      <c r="AP23" s="345" t="s">
        <v>1211</v>
      </c>
      <c r="AQ23" s="221" t="s">
        <v>92</v>
      </c>
      <c r="AR23" s="221" t="s">
        <v>799</v>
      </c>
      <c r="AS23" s="221" t="s">
        <v>782</v>
      </c>
      <c r="AT23" s="221">
        <v>0</v>
      </c>
      <c r="AU23" s="221" t="s">
        <v>3</v>
      </c>
      <c r="AV23" s="221">
        <v>10</v>
      </c>
      <c r="BG23" s="221" t="s">
        <v>1054</v>
      </c>
      <c r="BH23" s="345">
        <v>200000</v>
      </c>
      <c r="BI23" s="345">
        <v>1000000</v>
      </c>
      <c r="BN23" s="221" t="s">
        <v>1164</v>
      </c>
    </row>
    <row r="24" spans="3:66" x14ac:dyDescent="0.2">
      <c r="C24" s="238" t="s">
        <v>150</v>
      </c>
      <c r="H24" s="237" t="s">
        <v>291</v>
      </c>
      <c r="I24" s="237"/>
      <c r="N24" s="203" t="s">
        <v>323</v>
      </c>
      <c r="O24" s="205">
        <v>1226100</v>
      </c>
      <c r="U24" s="242" t="s">
        <v>185</v>
      </c>
      <c r="AB24" s="203" t="s">
        <v>601</v>
      </c>
      <c r="AC24" s="205"/>
      <c r="AD24" s="205" t="s">
        <v>578</v>
      </c>
      <c r="AL24" s="237" t="s">
        <v>907</v>
      </c>
      <c r="AM24" s="221" t="s">
        <v>678</v>
      </c>
      <c r="AN24" s="221" t="s">
        <v>203</v>
      </c>
      <c r="AO24" s="221" t="s">
        <v>1412</v>
      </c>
      <c r="AP24" s="345" t="s">
        <v>1212</v>
      </c>
      <c r="AQ24" s="221" t="s">
        <v>92</v>
      </c>
      <c r="AR24" s="221" t="s">
        <v>800</v>
      </c>
      <c r="AS24" s="221" t="s">
        <v>782</v>
      </c>
      <c r="AT24" s="221">
        <v>0</v>
      </c>
      <c r="AU24" s="221" t="s">
        <v>3</v>
      </c>
      <c r="AV24" s="221">
        <v>15</v>
      </c>
      <c r="BG24" s="221" t="s">
        <v>1055</v>
      </c>
      <c r="BH24" s="345">
        <v>200000</v>
      </c>
      <c r="BI24" s="345">
        <v>1000000</v>
      </c>
      <c r="BN24" s="221" t="s">
        <v>1165</v>
      </c>
    </row>
    <row r="25" spans="3:66" x14ac:dyDescent="0.2">
      <c r="C25" s="239" t="s">
        <v>152</v>
      </c>
      <c r="H25" s="221" t="s">
        <v>294</v>
      </c>
      <c r="I25" s="397">
        <v>0.8</v>
      </c>
      <c r="N25" s="203" t="s">
        <v>324</v>
      </c>
      <c r="O25" s="205">
        <v>1226101</v>
      </c>
      <c r="U25" s="242" t="s">
        <v>186</v>
      </c>
      <c r="AB25" s="203" t="s">
        <v>602</v>
      </c>
      <c r="AC25" s="205"/>
      <c r="AD25" s="205" t="s">
        <v>578</v>
      </c>
      <c r="AL25" s="221" t="s">
        <v>895</v>
      </c>
      <c r="AM25" s="221" t="s">
        <v>679</v>
      </c>
      <c r="AN25" s="221" t="s">
        <v>203</v>
      </c>
      <c r="AO25" s="221" t="s">
        <v>1412</v>
      </c>
      <c r="AP25" s="345" t="s">
        <v>1213</v>
      </c>
      <c r="AQ25" s="221" t="s">
        <v>92</v>
      </c>
      <c r="AR25" s="221" t="s">
        <v>800</v>
      </c>
      <c r="AS25" s="221" t="s">
        <v>782</v>
      </c>
      <c r="AT25" s="221">
        <v>0</v>
      </c>
      <c r="AU25" s="221" t="s">
        <v>3</v>
      </c>
      <c r="AV25" s="221">
        <v>15</v>
      </c>
      <c r="BG25" s="221" t="s">
        <v>1056</v>
      </c>
      <c r="BH25" s="345">
        <v>200000</v>
      </c>
      <c r="BI25" s="345">
        <v>1000000</v>
      </c>
      <c r="BN25" s="221" t="s">
        <v>1166</v>
      </c>
    </row>
    <row r="26" spans="3:66" x14ac:dyDescent="0.2">
      <c r="C26" s="238" t="s">
        <v>151</v>
      </c>
      <c r="H26" s="221" t="s">
        <v>5</v>
      </c>
      <c r="I26" s="397">
        <v>0.8</v>
      </c>
      <c r="N26" s="203" t="s">
        <v>325</v>
      </c>
      <c r="O26" s="205">
        <v>1226300</v>
      </c>
      <c r="U26" s="242" t="s">
        <v>187</v>
      </c>
      <c r="AB26" s="203" t="s">
        <v>603</v>
      </c>
      <c r="AC26" s="205"/>
      <c r="AD26" s="205" t="s">
        <v>578</v>
      </c>
      <c r="AL26" s="221" t="s">
        <v>896</v>
      </c>
      <c r="AM26" s="221" t="s">
        <v>680</v>
      </c>
      <c r="AN26" s="221" t="s">
        <v>203</v>
      </c>
      <c r="AO26" s="221" t="s">
        <v>1412</v>
      </c>
      <c r="AP26" s="345" t="s">
        <v>1214</v>
      </c>
      <c r="AQ26" s="221" t="s">
        <v>92</v>
      </c>
      <c r="AR26" s="221" t="s">
        <v>801</v>
      </c>
      <c r="AS26" s="221" t="s">
        <v>782</v>
      </c>
      <c r="AT26" s="221">
        <v>0</v>
      </c>
      <c r="AU26" s="221" t="s">
        <v>3</v>
      </c>
      <c r="AV26" s="221">
        <v>30</v>
      </c>
      <c r="BG26" s="221" t="s">
        <v>1057</v>
      </c>
      <c r="BH26" s="345">
        <v>200000</v>
      </c>
      <c r="BI26" s="345">
        <v>1000000</v>
      </c>
      <c r="BN26" s="221" t="s">
        <v>1167</v>
      </c>
    </row>
    <row r="27" spans="3:66" ht="12.75" customHeight="1" x14ac:dyDescent="0.2">
      <c r="C27" s="238" t="s">
        <v>153</v>
      </c>
      <c r="H27" s="221" t="s">
        <v>6</v>
      </c>
      <c r="I27" s="397">
        <v>0.8</v>
      </c>
      <c r="N27" s="203" t="s">
        <v>326</v>
      </c>
      <c r="O27" s="205">
        <v>1228100</v>
      </c>
      <c r="U27" s="242" t="s">
        <v>188</v>
      </c>
      <c r="AB27" s="237" t="s">
        <v>649</v>
      </c>
      <c r="AC27" s="204"/>
      <c r="AD27" s="204"/>
      <c r="AL27" s="221" t="s">
        <v>897</v>
      </c>
      <c r="AM27" s="237" t="s">
        <v>1323</v>
      </c>
      <c r="AP27" s="345" t="s">
        <v>1207</v>
      </c>
      <c r="BG27" s="221" t="s">
        <v>1058</v>
      </c>
      <c r="BH27" s="345">
        <v>200000</v>
      </c>
      <c r="BI27" s="345">
        <v>1000000</v>
      </c>
      <c r="BN27" s="221" t="s">
        <v>1168</v>
      </c>
    </row>
    <row r="28" spans="3:66" x14ac:dyDescent="0.2">
      <c r="C28" s="238" t="s">
        <v>155</v>
      </c>
      <c r="H28" s="221" t="s">
        <v>7</v>
      </c>
      <c r="I28" s="397">
        <v>0.8</v>
      </c>
      <c r="N28" s="203" t="s">
        <v>327</v>
      </c>
      <c r="O28" s="205">
        <v>1302000</v>
      </c>
      <c r="U28" s="242" t="s">
        <v>189</v>
      </c>
      <c r="AB28" s="203" t="s">
        <v>605</v>
      </c>
      <c r="AC28" s="205" t="s">
        <v>578</v>
      </c>
      <c r="AD28" s="205"/>
      <c r="AL28" s="237" t="s">
        <v>908</v>
      </c>
      <c r="AM28" s="221" t="s">
        <v>681</v>
      </c>
      <c r="AN28" s="221" t="s">
        <v>468</v>
      </c>
      <c r="AO28" s="221" t="s">
        <v>1413</v>
      </c>
      <c r="AP28" s="345" t="s">
        <v>1317</v>
      </c>
      <c r="AQ28" s="221" t="s">
        <v>802</v>
      </c>
      <c r="AR28" s="221" t="s">
        <v>803</v>
      </c>
      <c r="AS28" s="221" t="s">
        <v>774</v>
      </c>
      <c r="AT28" s="221" t="s">
        <v>775</v>
      </c>
      <c r="AU28" s="221" t="s">
        <v>775</v>
      </c>
      <c r="AV28" s="221" t="s">
        <v>804</v>
      </c>
      <c r="BG28" s="221" t="s">
        <v>1059</v>
      </c>
      <c r="BH28" s="345">
        <v>200000</v>
      </c>
      <c r="BI28" s="345">
        <v>1000000</v>
      </c>
      <c r="BN28" s="237" t="s">
        <v>1140</v>
      </c>
    </row>
    <row r="29" spans="3:66" x14ac:dyDescent="0.2">
      <c r="C29" s="238" t="s">
        <v>155</v>
      </c>
      <c r="H29" s="221" t="s">
        <v>295</v>
      </c>
      <c r="I29" s="397">
        <v>0.8</v>
      </c>
      <c r="N29" s="203" t="s">
        <v>328</v>
      </c>
      <c r="O29" s="205">
        <v>1304000</v>
      </c>
      <c r="U29" s="242" t="s">
        <v>190</v>
      </c>
      <c r="AB29" s="203" t="s">
        <v>341</v>
      </c>
      <c r="AC29" s="205" t="s">
        <v>578</v>
      </c>
      <c r="AD29" s="205"/>
      <c r="AL29" s="221" t="s">
        <v>898</v>
      </c>
      <c r="AM29" s="221" t="s">
        <v>682</v>
      </c>
      <c r="AN29" s="221" t="s">
        <v>468</v>
      </c>
      <c r="AO29" s="221" t="s">
        <v>1413</v>
      </c>
      <c r="AP29" s="345" t="s">
        <v>1325</v>
      </c>
      <c r="AQ29" s="221" t="s">
        <v>802</v>
      </c>
      <c r="AR29" s="221" t="s">
        <v>803</v>
      </c>
      <c r="AS29" s="221" t="s">
        <v>774</v>
      </c>
      <c r="AT29" s="221" t="s">
        <v>775</v>
      </c>
      <c r="AU29" s="221" t="s">
        <v>775</v>
      </c>
      <c r="AV29" s="221" t="s">
        <v>804</v>
      </c>
      <c r="BG29" s="221" t="s">
        <v>1060</v>
      </c>
      <c r="BH29" s="345">
        <v>200000</v>
      </c>
      <c r="BI29" s="345">
        <v>1000000</v>
      </c>
      <c r="BN29" s="221" t="s">
        <v>1169</v>
      </c>
    </row>
    <row r="30" spans="3:66" ht="15" customHeight="1" x14ac:dyDescent="0.2">
      <c r="C30" s="238" t="s">
        <v>156</v>
      </c>
      <c r="H30" s="221" t="s">
        <v>296</v>
      </c>
      <c r="I30" s="397">
        <v>0.8</v>
      </c>
      <c r="N30" s="202" t="s">
        <v>274</v>
      </c>
      <c r="U30" s="242" t="s">
        <v>191</v>
      </c>
      <c r="AB30" s="203" t="s">
        <v>606</v>
      </c>
      <c r="AC30" s="205" t="s">
        <v>578</v>
      </c>
      <c r="AD30" s="205"/>
      <c r="AL30" s="221" t="s">
        <v>899</v>
      </c>
      <c r="AM30" s="221" t="s">
        <v>683</v>
      </c>
      <c r="AN30" s="221" t="s">
        <v>468</v>
      </c>
      <c r="AO30" s="221" t="s">
        <v>1412</v>
      </c>
      <c r="AP30" s="345" t="s">
        <v>1318</v>
      </c>
      <c r="AQ30" s="221" t="s">
        <v>805</v>
      </c>
      <c r="AR30" s="221" t="s">
        <v>803</v>
      </c>
      <c r="AS30" s="221" t="s">
        <v>774</v>
      </c>
      <c r="AT30" s="221" t="s">
        <v>3</v>
      </c>
      <c r="AU30" s="221" t="s">
        <v>3</v>
      </c>
      <c r="AV30" s="221" t="s">
        <v>806</v>
      </c>
      <c r="BG30" s="221" t="s">
        <v>1061</v>
      </c>
      <c r="BH30" s="345">
        <v>200000</v>
      </c>
      <c r="BI30" s="345">
        <v>1000000</v>
      </c>
      <c r="BN30" s="221" t="s">
        <v>1170</v>
      </c>
    </row>
    <row r="31" spans="3:66" ht="12.75" customHeight="1" x14ac:dyDescent="0.2">
      <c r="C31" s="238" t="s">
        <v>154</v>
      </c>
      <c r="H31" s="221" t="s">
        <v>52</v>
      </c>
      <c r="I31" s="397">
        <v>0.8</v>
      </c>
      <c r="N31" s="203" t="s">
        <v>329</v>
      </c>
      <c r="O31" s="205">
        <v>1511000</v>
      </c>
      <c r="U31" s="242" t="s">
        <v>192</v>
      </c>
      <c r="AB31" s="203" t="s">
        <v>607</v>
      </c>
      <c r="AC31" s="205" t="s">
        <v>578</v>
      </c>
      <c r="AD31" s="205"/>
      <c r="AL31" s="221" t="s">
        <v>900</v>
      </c>
      <c r="AM31" s="221" t="s">
        <v>684</v>
      </c>
      <c r="AN31" s="221" t="s">
        <v>203</v>
      </c>
      <c r="AO31" s="221" t="s">
        <v>1412</v>
      </c>
      <c r="AP31" s="345" t="s">
        <v>1215</v>
      </c>
      <c r="AQ31" s="221" t="s">
        <v>92</v>
      </c>
      <c r="AR31" s="221" t="s">
        <v>799</v>
      </c>
      <c r="AS31" s="221" t="s">
        <v>782</v>
      </c>
      <c r="AT31" s="221">
        <v>0</v>
      </c>
      <c r="AU31" s="221" t="s">
        <v>3</v>
      </c>
      <c r="AV31" s="221">
        <v>10</v>
      </c>
      <c r="BG31" s="221" t="s">
        <v>1062</v>
      </c>
      <c r="BH31" s="345">
        <v>200000</v>
      </c>
      <c r="BI31" s="345">
        <v>1000000</v>
      </c>
      <c r="BN31" s="221" t="s">
        <v>1171</v>
      </c>
    </row>
    <row r="32" spans="3:66" x14ac:dyDescent="0.2">
      <c r="C32" s="238" t="s">
        <v>157</v>
      </c>
      <c r="N32" s="203" t="s">
        <v>330</v>
      </c>
      <c r="O32" s="205">
        <v>1511002</v>
      </c>
      <c r="U32" s="242" t="s">
        <v>193</v>
      </c>
      <c r="AB32" s="203" t="s">
        <v>608</v>
      </c>
      <c r="AC32" s="205" t="s">
        <v>578</v>
      </c>
      <c r="AD32" s="205"/>
      <c r="AL32" s="221" t="s">
        <v>901</v>
      </c>
      <c r="AM32" s="221" t="s">
        <v>685</v>
      </c>
      <c r="AN32" s="221" t="s">
        <v>203</v>
      </c>
      <c r="AO32" s="221" t="s">
        <v>1412</v>
      </c>
      <c r="AP32" s="345" t="s">
        <v>1216</v>
      </c>
      <c r="AQ32" s="221" t="s">
        <v>92</v>
      </c>
      <c r="AR32" s="221" t="s">
        <v>799</v>
      </c>
      <c r="AS32" s="221" t="s">
        <v>782</v>
      </c>
      <c r="AT32" s="221">
        <v>0</v>
      </c>
      <c r="AU32" s="221" t="s">
        <v>3</v>
      </c>
      <c r="AV32" s="221">
        <v>25</v>
      </c>
      <c r="BG32" s="221" t="s">
        <v>1063</v>
      </c>
      <c r="BH32" s="345">
        <v>200000</v>
      </c>
      <c r="BI32" s="345">
        <v>1000000</v>
      </c>
      <c r="BN32" s="221" t="s">
        <v>1172</v>
      </c>
    </row>
    <row r="33" spans="3:66" x14ac:dyDescent="0.2">
      <c r="C33" s="238" t="s">
        <v>158</v>
      </c>
      <c r="N33" s="203" t="s">
        <v>331</v>
      </c>
      <c r="O33" s="205">
        <v>1511200</v>
      </c>
      <c r="U33" s="242" t="s">
        <v>194</v>
      </c>
      <c r="AB33" s="203" t="s">
        <v>609</v>
      </c>
      <c r="AC33" s="205"/>
      <c r="AD33" s="205" t="s">
        <v>578</v>
      </c>
      <c r="AL33" s="237" t="s">
        <v>1314</v>
      </c>
      <c r="AM33" s="221" t="s">
        <v>686</v>
      </c>
      <c r="AN33" s="221" t="s">
        <v>203</v>
      </c>
      <c r="AO33" s="221" t="s">
        <v>1412</v>
      </c>
      <c r="AP33" s="345" t="s">
        <v>1217</v>
      </c>
      <c r="AQ33" s="221" t="s">
        <v>92</v>
      </c>
      <c r="AR33" s="221" t="s">
        <v>807</v>
      </c>
      <c r="AS33" s="221" t="s">
        <v>782</v>
      </c>
      <c r="AT33" s="221">
        <v>0</v>
      </c>
      <c r="AU33" s="221" t="s">
        <v>3</v>
      </c>
      <c r="AV33" s="221">
        <v>30</v>
      </c>
      <c r="BG33" s="221" t="s">
        <v>1064</v>
      </c>
      <c r="BH33" s="345">
        <v>200000</v>
      </c>
      <c r="BI33" s="345">
        <v>1000000</v>
      </c>
      <c r="BN33" s="221" t="s">
        <v>1173</v>
      </c>
    </row>
    <row r="34" spans="3:66" x14ac:dyDescent="0.2">
      <c r="C34" s="238" t="s">
        <v>159</v>
      </c>
      <c r="N34" s="203" t="s">
        <v>11</v>
      </c>
      <c r="O34" s="205">
        <v>1511300</v>
      </c>
      <c r="U34" s="242" t="s">
        <v>195</v>
      </c>
      <c r="AB34" s="203" t="s">
        <v>610</v>
      </c>
      <c r="AC34" s="205"/>
      <c r="AD34" s="205" t="s">
        <v>578</v>
      </c>
      <c r="AL34" s="221" t="s">
        <v>902</v>
      </c>
      <c r="AM34" s="237" t="s">
        <v>994</v>
      </c>
      <c r="AP34" s="345" t="s">
        <v>1207</v>
      </c>
      <c r="BG34" s="221" t="s">
        <v>1065</v>
      </c>
      <c r="BH34" s="345">
        <v>200000</v>
      </c>
      <c r="BI34" s="345">
        <v>1000000</v>
      </c>
      <c r="BN34" s="237" t="s">
        <v>1142</v>
      </c>
    </row>
    <row r="35" spans="3:66" x14ac:dyDescent="0.2">
      <c r="C35" s="238" t="s">
        <v>160</v>
      </c>
      <c r="N35" s="203" t="s">
        <v>332</v>
      </c>
      <c r="O35" s="205">
        <v>1513000</v>
      </c>
      <c r="AB35" s="203" t="s">
        <v>611</v>
      </c>
      <c r="AC35" s="205"/>
      <c r="AD35" s="205" t="s">
        <v>578</v>
      </c>
      <c r="AM35" s="221" t="s">
        <v>730</v>
      </c>
      <c r="AN35" s="221" t="s">
        <v>468</v>
      </c>
      <c r="AO35" s="221" t="s">
        <v>1413</v>
      </c>
      <c r="AP35" s="345" t="s">
        <v>1218</v>
      </c>
      <c r="AQ35" s="221" t="s">
        <v>92</v>
      </c>
      <c r="AR35" s="221" t="s">
        <v>855</v>
      </c>
      <c r="AS35" s="221" t="s">
        <v>774</v>
      </c>
      <c r="AT35" s="221" t="s">
        <v>856</v>
      </c>
      <c r="AU35" s="221">
        <v>2016</v>
      </c>
      <c r="AV35" s="221">
        <v>65</v>
      </c>
      <c r="BG35" s="221" t="s">
        <v>1066</v>
      </c>
      <c r="BH35" s="345">
        <v>200000</v>
      </c>
      <c r="BI35" s="345">
        <v>1000000</v>
      </c>
      <c r="BN35" s="221" t="s">
        <v>1174</v>
      </c>
    </row>
    <row r="36" spans="3:66" x14ac:dyDescent="0.2">
      <c r="C36" s="238" t="s">
        <v>161</v>
      </c>
      <c r="N36" s="203" t="s">
        <v>333</v>
      </c>
      <c r="O36" s="205">
        <v>1513001</v>
      </c>
      <c r="AB36" s="203" t="s">
        <v>612</v>
      </c>
      <c r="AC36" s="205"/>
      <c r="AD36" s="205" t="s">
        <v>578</v>
      </c>
      <c r="AM36" s="221" t="s">
        <v>731</v>
      </c>
      <c r="AN36" s="221" t="s">
        <v>468</v>
      </c>
      <c r="AO36" s="221" t="s">
        <v>1413</v>
      </c>
      <c r="AP36" s="345" t="s">
        <v>1219</v>
      </c>
      <c r="AQ36" s="221" t="s">
        <v>92</v>
      </c>
      <c r="AR36" s="221" t="s">
        <v>857</v>
      </c>
      <c r="AS36" s="221" t="s">
        <v>774</v>
      </c>
      <c r="AT36" s="221">
        <v>54</v>
      </c>
      <c r="AU36" s="221">
        <v>2016</v>
      </c>
      <c r="AV36" s="221">
        <v>49</v>
      </c>
      <c r="BG36" s="221" t="s">
        <v>1067</v>
      </c>
      <c r="BH36" s="345">
        <v>200000</v>
      </c>
      <c r="BI36" s="345">
        <v>1000000</v>
      </c>
      <c r="BN36" s="221" t="s">
        <v>1175</v>
      </c>
    </row>
    <row r="37" spans="3:66" x14ac:dyDescent="0.2">
      <c r="C37" s="239" t="s">
        <v>163</v>
      </c>
      <c r="N37" s="203" t="s">
        <v>334</v>
      </c>
      <c r="O37" s="205">
        <v>1513003</v>
      </c>
      <c r="AB37" s="203" t="s">
        <v>613</v>
      </c>
      <c r="AC37" s="205"/>
      <c r="AD37" s="205" t="s">
        <v>578</v>
      </c>
      <c r="AM37" s="221" t="s">
        <v>732</v>
      </c>
      <c r="AN37" s="221" t="s">
        <v>468</v>
      </c>
      <c r="AO37" s="221" t="s">
        <v>1413</v>
      </c>
      <c r="AP37" s="345" t="s">
        <v>1220</v>
      </c>
      <c r="AQ37" s="221" t="s">
        <v>92</v>
      </c>
      <c r="AR37" s="221" t="s">
        <v>858</v>
      </c>
      <c r="AS37" s="221" t="s">
        <v>774</v>
      </c>
      <c r="AT37" s="221">
        <v>367</v>
      </c>
      <c r="AU37" s="221">
        <v>2016</v>
      </c>
      <c r="AV37" s="221">
        <v>500</v>
      </c>
      <c r="BG37" s="221" t="s">
        <v>1068</v>
      </c>
      <c r="BH37" s="345">
        <v>200000</v>
      </c>
      <c r="BI37" s="345">
        <v>1000000</v>
      </c>
      <c r="BN37" s="221" t="s">
        <v>1176</v>
      </c>
    </row>
    <row r="38" spans="3:66" x14ac:dyDescent="0.2">
      <c r="C38" s="238" t="s">
        <v>162</v>
      </c>
      <c r="N38" s="203" t="s">
        <v>335</v>
      </c>
      <c r="O38" s="205">
        <v>1513004</v>
      </c>
      <c r="AB38" s="237" t="s">
        <v>650</v>
      </c>
      <c r="AC38" s="204"/>
      <c r="AD38" s="204"/>
      <c r="AM38" s="221" t="s">
        <v>733</v>
      </c>
      <c r="AN38" s="221" t="s">
        <v>203</v>
      </c>
      <c r="AO38" s="221" t="s">
        <v>1412</v>
      </c>
      <c r="AP38" s="345" t="s">
        <v>1221</v>
      </c>
      <c r="AQ38" s="221" t="s">
        <v>92</v>
      </c>
      <c r="AR38" s="221" t="s">
        <v>859</v>
      </c>
      <c r="AS38" s="221" t="s">
        <v>782</v>
      </c>
      <c r="AT38" s="221">
        <v>0</v>
      </c>
      <c r="AU38" s="221" t="s">
        <v>3</v>
      </c>
      <c r="AV38" s="221">
        <v>3</v>
      </c>
      <c r="BG38" s="221" t="s">
        <v>1069</v>
      </c>
      <c r="BH38" s="345">
        <v>200000</v>
      </c>
      <c r="BI38" s="345">
        <v>1000000</v>
      </c>
      <c r="BN38" s="221" t="s">
        <v>1177</v>
      </c>
    </row>
    <row r="39" spans="3:66" x14ac:dyDescent="0.2">
      <c r="C39" s="238" t="s">
        <v>164</v>
      </c>
      <c r="N39" s="203" t="s">
        <v>336</v>
      </c>
      <c r="O39" s="205">
        <v>1513005</v>
      </c>
      <c r="AB39" s="203" t="s">
        <v>615</v>
      </c>
      <c r="AC39" s="205" t="s">
        <v>578</v>
      </c>
      <c r="AD39" s="205"/>
      <c r="AM39" s="221" t="s">
        <v>734</v>
      </c>
      <c r="AN39" s="221" t="s">
        <v>203</v>
      </c>
      <c r="AO39" s="221" t="s">
        <v>1412</v>
      </c>
      <c r="AP39" s="345" t="s">
        <v>1222</v>
      </c>
      <c r="AQ39" s="221" t="s">
        <v>92</v>
      </c>
      <c r="AR39" s="221" t="s">
        <v>835</v>
      </c>
      <c r="AS39" s="221" t="s">
        <v>782</v>
      </c>
      <c r="AT39" s="221">
        <v>0</v>
      </c>
      <c r="AU39" s="221" t="s">
        <v>3</v>
      </c>
      <c r="AV39" s="221">
        <v>5</v>
      </c>
      <c r="BG39" s="221" t="s">
        <v>1070</v>
      </c>
      <c r="BH39" s="345">
        <v>200000</v>
      </c>
      <c r="BI39" s="345">
        <v>1000000</v>
      </c>
      <c r="BN39" s="221" t="s">
        <v>1178</v>
      </c>
    </row>
    <row r="40" spans="3:66" x14ac:dyDescent="0.2">
      <c r="C40" s="238" t="s">
        <v>165</v>
      </c>
      <c r="N40" s="203" t="s">
        <v>337</v>
      </c>
      <c r="O40" s="205">
        <v>1513006</v>
      </c>
      <c r="AB40" s="203" t="s">
        <v>616</v>
      </c>
      <c r="AC40" s="205"/>
      <c r="AD40" s="205" t="s">
        <v>578</v>
      </c>
      <c r="AM40" s="221" t="s">
        <v>735</v>
      </c>
      <c r="AN40" s="221" t="s">
        <v>203</v>
      </c>
      <c r="AO40" s="221" t="s">
        <v>1412</v>
      </c>
      <c r="AP40" s="345" t="s">
        <v>1223</v>
      </c>
      <c r="AQ40" s="221" t="s">
        <v>92</v>
      </c>
      <c r="AR40" s="221" t="s">
        <v>836</v>
      </c>
      <c r="AS40" s="221" t="s">
        <v>782</v>
      </c>
      <c r="AT40" s="221">
        <v>0</v>
      </c>
      <c r="AU40" s="221" t="s">
        <v>3</v>
      </c>
      <c r="AV40" s="221">
        <v>350</v>
      </c>
      <c r="BG40" s="221" t="s">
        <v>1071</v>
      </c>
      <c r="BH40" s="345">
        <v>200000</v>
      </c>
      <c r="BI40" s="345">
        <v>1000000</v>
      </c>
      <c r="BN40" s="221" t="s">
        <v>1179</v>
      </c>
    </row>
    <row r="41" spans="3:66" x14ac:dyDescent="0.2">
      <c r="C41" s="238" t="s">
        <v>166</v>
      </c>
      <c r="N41" s="203" t="s">
        <v>338</v>
      </c>
      <c r="O41" s="205">
        <v>1513007</v>
      </c>
      <c r="AB41" s="203" t="s">
        <v>617</v>
      </c>
      <c r="AC41" s="205"/>
      <c r="AD41" s="205" t="s">
        <v>578</v>
      </c>
      <c r="AM41" s="221" t="s">
        <v>736</v>
      </c>
      <c r="AN41" s="221" t="s">
        <v>203</v>
      </c>
      <c r="AO41" s="221" t="s">
        <v>1412</v>
      </c>
      <c r="AP41" s="345" t="s">
        <v>1224</v>
      </c>
      <c r="AQ41" s="221" t="s">
        <v>823</v>
      </c>
      <c r="AR41" s="221" t="s">
        <v>837</v>
      </c>
      <c r="AS41" s="221" t="s">
        <v>782</v>
      </c>
      <c r="AT41" s="221" t="s">
        <v>503</v>
      </c>
      <c r="AU41" s="221" t="s">
        <v>3</v>
      </c>
      <c r="AV41" s="221" t="s">
        <v>502</v>
      </c>
      <c r="BG41" s="221" t="s">
        <v>1072</v>
      </c>
      <c r="BH41" s="345">
        <v>200000</v>
      </c>
      <c r="BI41" s="345">
        <v>1000000</v>
      </c>
      <c r="BN41" s="221" t="s">
        <v>1180</v>
      </c>
    </row>
    <row r="42" spans="3:66" x14ac:dyDescent="0.2">
      <c r="C42" s="238" t="s">
        <v>206</v>
      </c>
      <c r="N42" s="203" t="s">
        <v>339</v>
      </c>
      <c r="O42" s="205">
        <v>1513008</v>
      </c>
      <c r="AB42" s="237" t="s">
        <v>651</v>
      </c>
      <c r="AC42" s="204"/>
      <c r="AD42" s="204"/>
      <c r="AM42" s="221" t="s">
        <v>737</v>
      </c>
      <c r="AN42" s="221" t="s">
        <v>203</v>
      </c>
      <c r="AO42" s="221" t="s">
        <v>1412</v>
      </c>
      <c r="AP42" s="345" t="s">
        <v>1225</v>
      </c>
      <c r="AQ42" s="221" t="s">
        <v>823</v>
      </c>
      <c r="AR42" s="221" t="s">
        <v>838</v>
      </c>
      <c r="AS42" s="221" t="s">
        <v>782</v>
      </c>
      <c r="AT42" s="221" t="s">
        <v>503</v>
      </c>
      <c r="AU42" s="221" t="s">
        <v>3</v>
      </c>
      <c r="AV42" s="221" t="s">
        <v>502</v>
      </c>
      <c r="BG42" s="221" t="s">
        <v>1073</v>
      </c>
      <c r="BH42" s="345">
        <v>0</v>
      </c>
      <c r="BI42" s="345">
        <v>100000000</v>
      </c>
      <c r="BN42" s="221" t="s">
        <v>1181</v>
      </c>
    </row>
    <row r="43" spans="3:66" x14ac:dyDescent="0.2">
      <c r="C43" s="238" t="s">
        <v>207</v>
      </c>
      <c r="N43" s="203" t="s">
        <v>340</v>
      </c>
      <c r="O43" s="205">
        <v>1513009</v>
      </c>
      <c r="AB43" s="203" t="s">
        <v>619</v>
      </c>
      <c r="AC43" s="205"/>
      <c r="AD43" s="205" t="s">
        <v>578</v>
      </c>
      <c r="AM43" s="237" t="s">
        <v>995</v>
      </c>
      <c r="AP43" s="345" t="s">
        <v>1207</v>
      </c>
      <c r="BN43" s="221" t="s">
        <v>1182</v>
      </c>
    </row>
    <row r="44" spans="3:66" x14ac:dyDescent="0.2">
      <c r="C44" s="238" t="s">
        <v>208</v>
      </c>
      <c r="N44" s="203" t="s">
        <v>341</v>
      </c>
      <c r="O44" s="205">
        <v>1513200</v>
      </c>
      <c r="AB44" s="203" t="s">
        <v>620</v>
      </c>
      <c r="AC44" s="205"/>
      <c r="AD44" s="205" t="s">
        <v>578</v>
      </c>
      <c r="AM44" s="221" t="s">
        <v>738</v>
      </c>
      <c r="AN44" s="221" t="s">
        <v>468</v>
      </c>
      <c r="AO44" s="221" t="s">
        <v>1413</v>
      </c>
      <c r="AP44" s="345" t="s">
        <v>1226</v>
      </c>
      <c r="AQ44" s="221" t="s">
        <v>92</v>
      </c>
      <c r="AR44" s="221" t="s">
        <v>839</v>
      </c>
      <c r="AS44" s="221" t="s">
        <v>782</v>
      </c>
      <c r="AT44" s="221">
        <v>0</v>
      </c>
      <c r="AU44" s="221" t="s">
        <v>3</v>
      </c>
      <c r="AV44" s="221">
        <v>360</v>
      </c>
      <c r="BN44" s="237" t="s">
        <v>1144</v>
      </c>
    </row>
    <row r="45" spans="3:66" x14ac:dyDescent="0.2">
      <c r="C45" s="239" t="s">
        <v>210</v>
      </c>
      <c r="N45" s="203" t="s">
        <v>342</v>
      </c>
      <c r="O45" s="205">
        <v>1513500</v>
      </c>
      <c r="AB45" s="203" t="s">
        <v>621</v>
      </c>
      <c r="AC45" s="205"/>
      <c r="AD45" s="205" t="s">
        <v>578</v>
      </c>
      <c r="AM45" s="221" t="s">
        <v>739</v>
      </c>
      <c r="AN45" s="221" t="s">
        <v>468</v>
      </c>
      <c r="AO45" s="221" t="s">
        <v>1413</v>
      </c>
      <c r="AP45" s="345" t="s">
        <v>1227</v>
      </c>
      <c r="AQ45" s="221" t="s">
        <v>92</v>
      </c>
      <c r="AR45" s="221" t="s">
        <v>840</v>
      </c>
      <c r="AS45" s="221" t="s">
        <v>774</v>
      </c>
      <c r="AT45" s="221">
        <v>0</v>
      </c>
      <c r="AU45" s="221" t="s">
        <v>3</v>
      </c>
      <c r="AV45" s="221">
        <v>120</v>
      </c>
      <c r="BN45" s="221" t="s">
        <v>1183</v>
      </c>
    </row>
    <row r="46" spans="3:66" x14ac:dyDescent="0.2">
      <c r="C46" s="238" t="s">
        <v>209</v>
      </c>
      <c r="N46" s="203" t="s">
        <v>343</v>
      </c>
      <c r="O46" s="205">
        <v>1513600</v>
      </c>
      <c r="AB46" s="203" t="s">
        <v>622</v>
      </c>
      <c r="AC46" s="205"/>
      <c r="AD46" s="205" t="s">
        <v>578</v>
      </c>
      <c r="AM46" s="221" t="s">
        <v>740</v>
      </c>
      <c r="AN46" s="221" t="s">
        <v>468</v>
      </c>
      <c r="AO46" s="221" t="s">
        <v>1413</v>
      </c>
      <c r="AP46" s="345" t="s">
        <v>1228</v>
      </c>
      <c r="AQ46" s="221" t="s">
        <v>92</v>
      </c>
      <c r="AR46" s="221" t="s">
        <v>803</v>
      </c>
      <c r="AS46" s="221" t="s">
        <v>841</v>
      </c>
      <c r="AT46" s="221" t="s">
        <v>3</v>
      </c>
      <c r="AU46" s="221" t="s">
        <v>3</v>
      </c>
      <c r="AV46" s="221">
        <v>180</v>
      </c>
      <c r="BN46" s="221" t="s">
        <v>1184</v>
      </c>
    </row>
    <row r="47" spans="3:66" x14ac:dyDescent="0.2">
      <c r="C47" s="238" t="s">
        <v>211</v>
      </c>
      <c r="N47" s="203" t="s">
        <v>344</v>
      </c>
      <c r="O47" s="205">
        <v>1513700</v>
      </c>
      <c r="AB47" s="203" t="s">
        <v>623</v>
      </c>
      <c r="AC47" s="205" t="s">
        <v>588</v>
      </c>
      <c r="AD47" s="205"/>
      <c r="AM47" s="221" t="s">
        <v>741</v>
      </c>
      <c r="AN47" s="221" t="s">
        <v>203</v>
      </c>
      <c r="AO47" s="221" t="s">
        <v>1412</v>
      </c>
      <c r="AP47" s="345" t="s">
        <v>1229</v>
      </c>
      <c r="AQ47" s="221" t="s">
        <v>92</v>
      </c>
      <c r="AR47" s="221" t="s">
        <v>842</v>
      </c>
      <c r="AS47" s="221" t="s">
        <v>782</v>
      </c>
      <c r="AT47" s="221">
        <v>0</v>
      </c>
      <c r="AU47" s="221" t="s">
        <v>3</v>
      </c>
      <c r="AV47" s="221">
        <v>8</v>
      </c>
      <c r="BN47" s="221" t="s">
        <v>1185</v>
      </c>
    </row>
    <row r="48" spans="3:66" x14ac:dyDescent="0.2">
      <c r="C48" s="238" t="s">
        <v>212</v>
      </c>
      <c r="N48" s="203" t="s">
        <v>345</v>
      </c>
      <c r="O48" s="205">
        <v>1515000</v>
      </c>
      <c r="AB48" s="203" t="s">
        <v>624</v>
      </c>
      <c r="AC48" s="205"/>
      <c r="AD48" s="205" t="s">
        <v>578</v>
      </c>
      <c r="AM48" s="221" t="s">
        <v>742</v>
      </c>
      <c r="AN48" s="221" t="s">
        <v>203</v>
      </c>
      <c r="AO48" s="221" t="s">
        <v>1412</v>
      </c>
      <c r="AP48" s="345" t="s">
        <v>1230</v>
      </c>
      <c r="AQ48" s="221" t="s">
        <v>92</v>
      </c>
      <c r="AR48" s="221" t="s">
        <v>843</v>
      </c>
      <c r="AS48" s="221" t="s">
        <v>782</v>
      </c>
      <c r="AT48" s="221">
        <v>0</v>
      </c>
      <c r="AU48" s="221" t="s">
        <v>3</v>
      </c>
      <c r="AV48" s="221">
        <v>1</v>
      </c>
      <c r="BN48" s="221" t="s">
        <v>1186</v>
      </c>
    </row>
    <row r="49" spans="3:66" x14ac:dyDescent="0.2">
      <c r="C49" s="238" t="s">
        <v>213</v>
      </c>
      <c r="N49" s="203" t="s">
        <v>346</v>
      </c>
      <c r="O49" s="205">
        <v>1515100</v>
      </c>
      <c r="AB49" s="203" t="s">
        <v>625</v>
      </c>
      <c r="AC49" s="205"/>
      <c r="AD49" s="205" t="s">
        <v>578</v>
      </c>
      <c r="AM49" s="221" t="s">
        <v>743</v>
      </c>
      <c r="AN49" s="221" t="s">
        <v>203</v>
      </c>
      <c r="AO49" s="221" t="s">
        <v>1412</v>
      </c>
      <c r="AP49" s="345" t="s">
        <v>1231</v>
      </c>
      <c r="AQ49" s="221" t="s">
        <v>92</v>
      </c>
      <c r="AR49" s="221" t="s">
        <v>843</v>
      </c>
      <c r="AS49" s="221" t="s">
        <v>782</v>
      </c>
      <c r="AT49" s="221">
        <v>0</v>
      </c>
      <c r="AU49" s="221" t="s">
        <v>3</v>
      </c>
      <c r="AV49" s="221">
        <v>2</v>
      </c>
      <c r="BN49" s="221" t="s">
        <v>1187</v>
      </c>
    </row>
    <row r="50" spans="3:66" x14ac:dyDescent="0.2">
      <c r="C50" s="238" t="s">
        <v>214</v>
      </c>
      <c r="N50" s="203" t="s">
        <v>347</v>
      </c>
      <c r="O50" s="205">
        <v>1515300</v>
      </c>
      <c r="AB50" s="237" t="s">
        <v>652</v>
      </c>
      <c r="AC50" s="204"/>
      <c r="AD50" s="204"/>
      <c r="AM50" s="221" t="s">
        <v>744</v>
      </c>
      <c r="AN50" s="221" t="s">
        <v>203</v>
      </c>
      <c r="AO50" s="221" t="s">
        <v>1412</v>
      </c>
      <c r="AP50" s="345" t="s">
        <v>1232</v>
      </c>
      <c r="AQ50" s="221" t="s">
        <v>92</v>
      </c>
      <c r="AR50" s="221" t="s">
        <v>826</v>
      </c>
      <c r="AS50" s="221" t="s">
        <v>782</v>
      </c>
      <c r="AT50" s="221">
        <v>0</v>
      </c>
      <c r="AU50" s="221" t="s">
        <v>3</v>
      </c>
      <c r="AV50" s="221">
        <v>36</v>
      </c>
    </row>
    <row r="51" spans="3:66" x14ac:dyDescent="0.2">
      <c r="C51" s="238" t="s">
        <v>215</v>
      </c>
      <c r="N51" s="203" t="s">
        <v>348</v>
      </c>
      <c r="O51" s="205">
        <v>1516000</v>
      </c>
      <c r="AB51" s="203" t="s">
        <v>627</v>
      </c>
      <c r="AC51" s="205" t="s">
        <v>578</v>
      </c>
      <c r="AD51" s="205"/>
      <c r="AM51" s="221" t="s">
        <v>745</v>
      </c>
      <c r="AN51" s="221" t="s">
        <v>203</v>
      </c>
      <c r="AO51" s="221" t="s">
        <v>1412</v>
      </c>
      <c r="AP51" s="345" t="s">
        <v>1233</v>
      </c>
      <c r="AQ51" s="221" t="s">
        <v>92</v>
      </c>
      <c r="AR51" s="221" t="s">
        <v>826</v>
      </c>
      <c r="AS51" s="221" t="s">
        <v>782</v>
      </c>
      <c r="AT51" s="221">
        <v>0</v>
      </c>
      <c r="AU51" s="221" t="s">
        <v>3</v>
      </c>
      <c r="AV51" s="221">
        <v>30</v>
      </c>
    </row>
    <row r="52" spans="3:66" x14ac:dyDescent="0.2">
      <c r="C52" s="238" t="s">
        <v>216</v>
      </c>
      <c r="N52" s="203" t="s">
        <v>349</v>
      </c>
      <c r="O52" s="205">
        <v>1516004</v>
      </c>
      <c r="AB52" s="203" t="s">
        <v>628</v>
      </c>
      <c r="AC52" s="205" t="s">
        <v>578</v>
      </c>
      <c r="AD52" s="205"/>
      <c r="AM52" s="237" t="s">
        <v>996</v>
      </c>
      <c r="AP52" s="345" t="s">
        <v>1207</v>
      </c>
    </row>
    <row r="53" spans="3:66" x14ac:dyDescent="0.2">
      <c r="C53" s="238" t="s">
        <v>217</v>
      </c>
      <c r="N53" s="203" t="s">
        <v>350</v>
      </c>
      <c r="O53" s="205">
        <v>1516005</v>
      </c>
      <c r="AB53" s="203" t="s">
        <v>629</v>
      </c>
      <c r="AC53" s="205" t="s">
        <v>578</v>
      </c>
      <c r="AD53" s="205" t="s">
        <v>578</v>
      </c>
      <c r="AM53" s="221" t="s">
        <v>746</v>
      </c>
      <c r="AN53" s="221" t="s">
        <v>468</v>
      </c>
      <c r="AO53" s="221" t="s">
        <v>1413</v>
      </c>
      <c r="AP53" s="345" t="s">
        <v>1234</v>
      </c>
      <c r="AQ53" s="221" t="s">
        <v>818</v>
      </c>
      <c r="AR53" s="221" t="s">
        <v>803</v>
      </c>
      <c r="AS53" s="221" t="s">
        <v>774</v>
      </c>
      <c r="AT53" s="221" t="s">
        <v>844</v>
      </c>
      <c r="AU53" s="221" t="s">
        <v>775</v>
      </c>
      <c r="AV53" s="221" t="s">
        <v>776</v>
      </c>
    </row>
    <row r="54" spans="3:66" x14ac:dyDescent="0.2">
      <c r="C54" s="238" t="s">
        <v>218</v>
      </c>
      <c r="N54" s="203" t="s">
        <v>351</v>
      </c>
      <c r="O54" s="205">
        <v>1516020</v>
      </c>
      <c r="AB54" s="237" t="s">
        <v>653</v>
      </c>
      <c r="AC54" s="204"/>
      <c r="AD54" s="204"/>
      <c r="AM54" s="221" t="s">
        <v>747</v>
      </c>
      <c r="AN54" s="221" t="s">
        <v>468</v>
      </c>
      <c r="AO54" s="221" t="s">
        <v>1413</v>
      </c>
      <c r="AP54" s="345" t="s">
        <v>1235</v>
      </c>
      <c r="AQ54" s="221" t="s">
        <v>92</v>
      </c>
      <c r="AR54" s="221" t="s">
        <v>845</v>
      </c>
      <c r="AS54" s="221" t="s">
        <v>774</v>
      </c>
      <c r="AT54" s="221">
        <v>0</v>
      </c>
      <c r="AU54" s="221" t="s">
        <v>3</v>
      </c>
      <c r="AV54" s="221">
        <v>5</v>
      </c>
    </row>
    <row r="55" spans="3:66" x14ac:dyDescent="0.2">
      <c r="C55" s="238" t="s">
        <v>219</v>
      </c>
      <c r="N55" s="203" t="s">
        <v>352</v>
      </c>
      <c r="O55" s="205">
        <v>1517000</v>
      </c>
      <c r="AB55" s="203" t="s">
        <v>631</v>
      </c>
      <c r="AC55" s="205" t="s">
        <v>578</v>
      </c>
      <c r="AD55" s="205"/>
      <c r="AM55" s="221" t="s">
        <v>748</v>
      </c>
      <c r="AN55" s="221" t="s">
        <v>203</v>
      </c>
      <c r="AO55" s="221" t="s">
        <v>1412</v>
      </c>
      <c r="AP55" s="345" t="s">
        <v>1236</v>
      </c>
      <c r="AQ55" s="221" t="s">
        <v>92</v>
      </c>
      <c r="AR55" s="221" t="s">
        <v>846</v>
      </c>
      <c r="AS55" s="221" t="s">
        <v>782</v>
      </c>
      <c r="AT55" s="221">
        <v>0</v>
      </c>
      <c r="AU55" s="221" t="s">
        <v>3</v>
      </c>
      <c r="AV55" s="221">
        <v>10</v>
      </c>
    </row>
    <row r="56" spans="3:66" x14ac:dyDescent="0.2">
      <c r="C56" s="238" t="s">
        <v>220</v>
      </c>
      <c r="N56" s="203" t="s">
        <v>353</v>
      </c>
      <c r="O56" s="205">
        <v>1518500</v>
      </c>
      <c r="AB56" s="203" t="s">
        <v>632</v>
      </c>
      <c r="AC56" s="205" t="s">
        <v>578</v>
      </c>
      <c r="AD56" s="205"/>
      <c r="AM56" s="221" t="s">
        <v>749</v>
      </c>
      <c r="AN56" s="221" t="s">
        <v>203</v>
      </c>
      <c r="AO56" s="221" t="s">
        <v>1412</v>
      </c>
      <c r="AP56" s="345" t="s">
        <v>1237</v>
      </c>
      <c r="AQ56" s="221" t="s">
        <v>92</v>
      </c>
      <c r="AR56" s="221" t="s">
        <v>826</v>
      </c>
      <c r="AS56" s="221" t="s">
        <v>782</v>
      </c>
      <c r="AT56" s="221">
        <v>0</v>
      </c>
      <c r="AU56" s="221" t="s">
        <v>3</v>
      </c>
      <c r="AV56" s="221">
        <v>500</v>
      </c>
    </row>
    <row r="57" spans="3:66" x14ac:dyDescent="0.2">
      <c r="C57" s="238" t="s">
        <v>221</v>
      </c>
      <c r="N57" s="203" t="s">
        <v>354</v>
      </c>
      <c r="O57" s="205">
        <v>1518501</v>
      </c>
      <c r="AB57" s="203" t="s">
        <v>633</v>
      </c>
      <c r="AC57" s="205" t="s">
        <v>578</v>
      </c>
      <c r="AD57" s="205"/>
      <c r="AM57" s="221" t="s">
        <v>750</v>
      </c>
      <c r="AN57" s="221" t="s">
        <v>203</v>
      </c>
      <c r="AO57" s="221" t="s">
        <v>1412</v>
      </c>
      <c r="AP57" s="345" t="s">
        <v>1238</v>
      </c>
      <c r="AQ57" s="221" t="s">
        <v>92</v>
      </c>
      <c r="AR57" s="221" t="s">
        <v>846</v>
      </c>
      <c r="AS57" s="221" t="s">
        <v>782</v>
      </c>
      <c r="AT57" s="221">
        <v>0</v>
      </c>
      <c r="AU57" s="221" t="s">
        <v>3</v>
      </c>
      <c r="AV57" s="221">
        <v>20</v>
      </c>
    </row>
    <row r="58" spans="3:66" x14ac:dyDescent="0.2">
      <c r="C58" s="238" t="s">
        <v>222</v>
      </c>
      <c r="N58" s="203" t="s">
        <v>355</v>
      </c>
      <c r="O58" s="205">
        <v>1606200</v>
      </c>
      <c r="AB58" s="203" t="s">
        <v>634</v>
      </c>
      <c r="AC58" s="205"/>
      <c r="AD58" s="205" t="s">
        <v>578</v>
      </c>
      <c r="AM58" s="221" t="s">
        <v>751</v>
      </c>
      <c r="AN58" s="221" t="s">
        <v>203</v>
      </c>
      <c r="AO58" s="221" t="s">
        <v>1412</v>
      </c>
      <c r="AP58" s="345" t="s">
        <v>1239</v>
      </c>
      <c r="AQ58" s="221" t="s">
        <v>823</v>
      </c>
      <c r="AR58" s="221" t="s">
        <v>826</v>
      </c>
      <c r="AS58" s="221" t="s">
        <v>782</v>
      </c>
      <c r="AT58" s="221" t="s">
        <v>503</v>
      </c>
      <c r="AU58" s="221" t="s">
        <v>3</v>
      </c>
      <c r="AV58" s="221" t="s">
        <v>502</v>
      </c>
    </row>
    <row r="59" spans="3:66" x14ac:dyDescent="0.2">
      <c r="C59" s="239" t="s">
        <v>224</v>
      </c>
      <c r="N59" s="202" t="s">
        <v>428</v>
      </c>
      <c r="AB59" s="203" t="s">
        <v>635</v>
      </c>
      <c r="AC59" s="205"/>
      <c r="AD59" s="205" t="s">
        <v>588</v>
      </c>
      <c r="AM59" s="221" t="s">
        <v>752</v>
      </c>
      <c r="AN59" s="221" t="s">
        <v>203</v>
      </c>
      <c r="AO59" s="221" t="s">
        <v>1412</v>
      </c>
      <c r="AP59" s="345" t="s">
        <v>1240</v>
      </c>
      <c r="AQ59" s="221" t="s">
        <v>92</v>
      </c>
      <c r="AR59" s="221" t="s">
        <v>847</v>
      </c>
      <c r="AS59" s="221" t="s">
        <v>782</v>
      </c>
      <c r="AT59" s="221">
        <v>0</v>
      </c>
      <c r="AU59" s="221" t="s">
        <v>3</v>
      </c>
      <c r="AV59" s="221">
        <v>160</v>
      </c>
    </row>
    <row r="60" spans="3:66" x14ac:dyDescent="0.2">
      <c r="C60" s="238" t="s">
        <v>223</v>
      </c>
      <c r="N60" s="203" t="s">
        <v>356</v>
      </c>
      <c r="O60" s="205">
        <v>1516010</v>
      </c>
      <c r="AB60" s="237" t="s">
        <v>654</v>
      </c>
      <c r="AC60" s="204"/>
      <c r="AD60" s="204"/>
      <c r="AM60" s="221" t="s">
        <v>753</v>
      </c>
      <c r="AN60" s="221" t="s">
        <v>203</v>
      </c>
      <c r="AO60" s="221" t="s">
        <v>1412</v>
      </c>
      <c r="AP60" s="345" t="s">
        <v>1241</v>
      </c>
      <c r="AQ60" s="221" t="s">
        <v>92</v>
      </c>
      <c r="AR60" s="221" t="s">
        <v>847</v>
      </c>
      <c r="AS60" s="221" t="s">
        <v>782</v>
      </c>
      <c r="AT60" s="221">
        <v>0</v>
      </c>
      <c r="AU60" s="221" t="s">
        <v>3</v>
      </c>
      <c r="AV60" s="221">
        <v>100</v>
      </c>
    </row>
    <row r="61" spans="3:66" x14ac:dyDescent="0.2">
      <c r="C61" s="238" t="s">
        <v>225</v>
      </c>
      <c r="N61" s="203" t="s">
        <v>357</v>
      </c>
      <c r="O61" s="205">
        <v>1601000</v>
      </c>
      <c r="AB61" s="203" t="s">
        <v>637</v>
      </c>
      <c r="AC61" s="205" t="s">
        <v>578</v>
      </c>
      <c r="AD61" s="205"/>
      <c r="AM61" s="221" t="s">
        <v>754</v>
      </c>
      <c r="AN61" s="221" t="s">
        <v>203</v>
      </c>
      <c r="AO61" s="221" t="s">
        <v>1412</v>
      </c>
      <c r="AP61" s="345" t="s">
        <v>1242</v>
      </c>
      <c r="AQ61" s="221" t="s">
        <v>92</v>
      </c>
      <c r="AR61" s="221" t="s">
        <v>848</v>
      </c>
      <c r="AS61" s="221" t="s">
        <v>782</v>
      </c>
      <c r="AT61" s="221">
        <v>0</v>
      </c>
      <c r="AU61" s="221" t="s">
        <v>3</v>
      </c>
      <c r="AV61" s="221">
        <v>2</v>
      </c>
    </row>
    <row r="62" spans="3:66" x14ac:dyDescent="0.2">
      <c r="C62" s="238" t="s">
        <v>226</v>
      </c>
      <c r="N62" s="203" t="s">
        <v>358</v>
      </c>
      <c r="O62" s="205">
        <v>1602000</v>
      </c>
      <c r="AB62" s="203" t="s">
        <v>638</v>
      </c>
      <c r="AC62" s="205"/>
      <c r="AD62" s="205" t="s">
        <v>578</v>
      </c>
      <c r="AM62" s="221" t="s">
        <v>763</v>
      </c>
      <c r="AN62" s="221" t="s">
        <v>203</v>
      </c>
      <c r="AO62" s="221" t="s">
        <v>1412</v>
      </c>
      <c r="AP62" s="345" t="s">
        <v>1243</v>
      </c>
      <c r="AQ62" s="221" t="s">
        <v>92</v>
      </c>
      <c r="AR62" s="221" t="s">
        <v>846</v>
      </c>
      <c r="AS62" s="221" t="s">
        <v>782</v>
      </c>
      <c r="AT62" s="221">
        <v>0</v>
      </c>
      <c r="AU62" s="221" t="s">
        <v>3</v>
      </c>
      <c r="AV62" s="221">
        <v>1</v>
      </c>
    </row>
    <row r="63" spans="3:66" x14ac:dyDescent="0.2">
      <c r="C63" s="238" t="s">
        <v>227</v>
      </c>
      <c r="N63" s="203" t="s">
        <v>359</v>
      </c>
      <c r="O63" s="205">
        <v>1602001</v>
      </c>
      <c r="AB63" s="203" t="s">
        <v>639</v>
      </c>
      <c r="AC63" s="205"/>
      <c r="AD63" s="205" t="s">
        <v>578</v>
      </c>
      <c r="AM63" s="221" t="s">
        <v>764</v>
      </c>
      <c r="AN63" s="221" t="s">
        <v>203</v>
      </c>
      <c r="AO63" s="221" t="s">
        <v>1412</v>
      </c>
      <c r="AP63" s="345" t="s">
        <v>1244</v>
      </c>
      <c r="AQ63" s="221" t="s">
        <v>92</v>
      </c>
      <c r="AR63" s="221" t="s">
        <v>846</v>
      </c>
      <c r="AS63" s="221" t="s">
        <v>782</v>
      </c>
      <c r="AT63" s="221">
        <v>0</v>
      </c>
      <c r="AU63" s="221" t="s">
        <v>3</v>
      </c>
      <c r="AV63" s="221">
        <v>1</v>
      </c>
    </row>
    <row r="64" spans="3:66" x14ac:dyDescent="0.2">
      <c r="C64" s="238" t="s">
        <v>228</v>
      </c>
      <c r="N64" s="203" t="s">
        <v>360</v>
      </c>
      <c r="O64" s="205">
        <v>1603000</v>
      </c>
      <c r="AB64" s="203" t="s">
        <v>640</v>
      </c>
      <c r="AC64" s="205"/>
      <c r="AD64" s="205" t="s">
        <v>578</v>
      </c>
      <c r="AM64" s="221" t="s">
        <v>755</v>
      </c>
      <c r="AN64" s="221" t="s">
        <v>203</v>
      </c>
      <c r="AO64" s="221" t="s">
        <v>1412</v>
      </c>
      <c r="AP64" s="345" t="s">
        <v>1245</v>
      </c>
      <c r="AQ64" s="221" t="s">
        <v>92</v>
      </c>
      <c r="AR64" s="221" t="s">
        <v>826</v>
      </c>
      <c r="AS64" s="221" t="s">
        <v>782</v>
      </c>
      <c r="AT64" s="221">
        <v>0</v>
      </c>
      <c r="AU64" s="221" t="s">
        <v>3</v>
      </c>
      <c r="AV64" s="221">
        <v>45</v>
      </c>
    </row>
    <row r="65" spans="3:48" x14ac:dyDescent="0.2">
      <c r="C65" s="238" t="s">
        <v>229</v>
      </c>
      <c r="N65" s="203" t="s">
        <v>361</v>
      </c>
      <c r="O65" s="205">
        <v>1604000</v>
      </c>
      <c r="AB65" s="203" t="s">
        <v>641</v>
      </c>
      <c r="AC65" s="205"/>
      <c r="AD65" s="205" t="s">
        <v>578</v>
      </c>
      <c r="AM65" s="237" t="s">
        <v>997</v>
      </c>
      <c r="AP65" s="345" t="s">
        <v>1207</v>
      </c>
    </row>
    <row r="66" spans="3:48" x14ac:dyDescent="0.2">
      <c r="C66" s="238" t="s">
        <v>230</v>
      </c>
      <c r="N66" s="203" t="s">
        <v>362</v>
      </c>
      <c r="O66" s="205">
        <v>1605000</v>
      </c>
      <c r="AB66" s="203" t="s">
        <v>642</v>
      </c>
      <c r="AC66" s="205"/>
      <c r="AD66" s="205" t="s">
        <v>578</v>
      </c>
      <c r="AM66" s="221" t="s">
        <v>756</v>
      </c>
      <c r="AN66" s="221" t="s">
        <v>468</v>
      </c>
      <c r="AO66" s="221" t="s">
        <v>1413</v>
      </c>
      <c r="AP66" s="345" t="s">
        <v>1246</v>
      </c>
      <c r="AQ66" s="221" t="s">
        <v>772</v>
      </c>
      <c r="AR66" s="221" t="s">
        <v>846</v>
      </c>
      <c r="AS66" s="221" t="s">
        <v>774</v>
      </c>
      <c r="AT66" s="221">
        <v>43619</v>
      </c>
      <c r="AU66" s="221">
        <v>2016</v>
      </c>
      <c r="AV66" s="221">
        <v>4</v>
      </c>
    </row>
    <row r="67" spans="3:48" x14ac:dyDescent="0.2">
      <c r="C67" s="238" t="s">
        <v>231</v>
      </c>
      <c r="N67" s="203" t="s">
        <v>363</v>
      </c>
      <c r="O67" s="205">
        <v>1606100</v>
      </c>
      <c r="AM67" s="221" t="s">
        <v>757</v>
      </c>
      <c r="AN67" s="221" t="s">
        <v>468</v>
      </c>
      <c r="AO67" s="221" t="s">
        <v>1413</v>
      </c>
      <c r="AP67" s="345" t="s">
        <v>1247</v>
      </c>
      <c r="AQ67" s="221" t="s">
        <v>92</v>
      </c>
      <c r="AR67" s="221" t="s">
        <v>846</v>
      </c>
      <c r="AS67" s="221" t="s">
        <v>782</v>
      </c>
      <c r="AT67" s="221">
        <v>0</v>
      </c>
      <c r="AU67" s="221" t="s">
        <v>3</v>
      </c>
      <c r="AV67" s="221">
        <v>50</v>
      </c>
    </row>
    <row r="68" spans="3:48" x14ac:dyDescent="0.2">
      <c r="C68" s="238" t="s">
        <v>232</v>
      </c>
      <c r="N68" s="203" t="s">
        <v>364</v>
      </c>
      <c r="O68" s="205">
        <v>1606116</v>
      </c>
      <c r="AM68" s="221" t="s">
        <v>765</v>
      </c>
      <c r="AN68" s="221" t="s">
        <v>468</v>
      </c>
      <c r="AO68" s="221" t="s">
        <v>1413</v>
      </c>
      <c r="AP68" s="345" t="s">
        <v>1248</v>
      </c>
      <c r="AQ68" s="221" t="s">
        <v>805</v>
      </c>
      <c r="AR68" s="221" t="s">
        <v>846</v>
      </c>
      <c r="AS68" s="221" t="s">
        <v>774</v>
      </c>
      <c r="AT68" s="221" t="s">
        <v>849</v>
      </c>
      <c r="AU68" s="221">
        <v>2016</v>
      </c>
      <c r="AV68" s="221" t="s">
        <v>850</v>
      </c>
    </row>
    <row r="69" spans="3:48" x14ac:dyDescent="0.2">
      <c r="C69" s="239" t="s">
        <v>234</v>
      </c>
      <c r="N69" s="203" t="s">
        <v>365</v>
      </c>
      <c r="O69" s="205">
        <v>1606117</v>
      </c>
      <c r="AM69" s="221" t="s">
        <v>758</v>
      </c>
      <c r="AN69" s="221" t="s">
        <v>203</v>
      </c>
      <c r="AO69" s="221" t="s">
        <v>1412</v>
      </c>
      <c r="AP69" s="345" t="s">
        <v>1249</v>
      </c>
      <c r="AQ69" s="221" t="s">
        <v>92</v>
      </c>
      <c r="AR69" s="221" t="s">
        <v>846</v>
      </c>
      <c r="AS69" s="221" t="s">
        <v>782</v>
      </c>
      <c r="AT69" s="221">
        <v>0</v>
      </c>
      <c r="AU69" s="221" t="s">
        <v>3</v>
      </c>
      <c r="AV69" s="221">
        <v>3</v>
      </c>
    </row>
    <row r="70" spans="3:48" x14ac:dyDescent="0.2">
      <c r="C70" s="238" t="s">
        <v>233</v>
      </c>
      <c r="N70" s="203" t="s">
        <v>366</v>
      </c>
      <c r="O70" s="205">
        <v>1606118</v>
      </c>
      <c r="AM70" s="221" t="s">
        <v>759</v>
      </c>
      <c r="AN70" s="221" t="s">
        <v>203</v>
      </c>
      <c r="AO70" s="221" t="s">
        <v>1412</v>
      </c>
      <c r="AP70" s="345" t="s">
        <v>1250</v>
      </c>
      <c r="AQ70" s="221" t="s">
        <v>92</v>
      </c>
      <c r="AR70" s="221" t="s">
        <v>838</v>
      </c>
      <c r="AS70" s="221" t="s">
        <v>782</v>
      </c>
      <c r="AT70" s="221">
        <v>0</v>
      </c>
      <c r="AU70" s="221" t="s">
        <v>3</v>
      </c>
      <c r="AV70" s="221">
        <v>6</v>
      </c>
    </row>
    <row r="71" spans="3:48" x14ac:dyDescent="0.2">
      <c r="C71" s="238" t="s">
        <v>235</v>
      </c>
      <c r="N71" s="203" t="s">
        <v>367</v>
      </c>
      <c r="O71" s="205">
        <v>1606400</v>
      </c>
      <c r="AM71" s="221" t="s">
        <v>760</v>
      </c>
      <c r="AN71" s="221" t="s">
        <v>203</v>
      </c>
      <c r="AO71" s="221" t="s">
        <v>1412</v>
      </c>
      <c r="AP71" s="345" t="s">
        <v>1251</v>
      </c>
      <c r="AQ71" s="221" t="s">
        <v>92</v>
      </c>
      <c r="AR71" s="221" t="s">
        <v>851</v>
      </c>
      <c r="AS71" s="221" t="s">
        <v>782</v>
      </c>
      <c r="AT71" s="221">
        <v>0</v>
      </c>
      <c r="AU71" s="221" t="s">
        <v>3</v>
      </c>
      <c r="AV71" s="221">
        <v>6</v>
      </c>
    </row>
    <row r="72" spans="3:48" x14ac:dyDescent="0.2">
      <c r="C72" s="238" t="s">
        <v>236</v>
      </c>
      <c r="N72" s="202" t="s">
        <v>422</v>
      </c>
      <c r="AM72" s="237" t="s">
        <v>1322</v>
      </c>
      <c r="AP72" s="345" t="s">
        <v>1207</v>
      </c>
    </row>
    <row r="73" spans="3:48" x14ac:dyDescent="0.2">
      <c r="C73" s="238" t="s">
        <v>237</v>
      </c>
      <c r="N73" s="203" t="s">
        <v>368</v>
      </c>
      <c r="O73" s="205">
        <v>2303001</v>
      </c>
      <c r="AM73" s="221" t="s">
        <v>681</v>
      </c>
      <c r="AN73" s="221" t="s">
        <v>468</v>
      </c>
      <c r="AO73" s="221" t="s">
        <v>1413</v>
      </c>
      <c r="AP73" s="345" t="s">
        <v>1252</v>
      </c>
      <c r="AQ73" s="221" t="s">
        <v>802</v>
      </c>
      <c r="AR73" s="221" t="s">
        <v>803</v>
      </c>
      <c r="AS73" s="221" t="s">
        <v>774</v>
      </c>
      <c r="AT73" s="221" t="s">
        <v>775</v>
      </c>
      <c r="AU73" s="221">
        <v>2019</v>
      </c>
      <c r="AV73" s="221" t="s">
        <v>830</v>
      </c>
    </row>
    <row r="74" spans="3:48" x14ac:dyDescent="0.2">
      <c r="C74" s="238" t="s">
        <v>12</v>
      </c>
      <c r="N74" s="203" t="s">
        <v>369</v>
      </c>
      <c r="O74" s="205">
        <v>2303002</v>
      </c>
      <c r="AM74" s="221" t="s">
        <v>682</v>
      </c>
      <c r="AN74" s="221" t="s">
        <v>468</v>
      </c>
      <c r="AO74" s="221" t="s">
        <v>1413</v>
      </c>
      <c r="AP74" s="345" t="s">
        <v>1253</v>
      </c>
      <c r="AQ74" s="221" t="s">
        <v>802</v>
      </c>
      <c r="AR74" s="221" t="s">
        <v>803</v>
      </c>
      <c r="AS74" s="221" t="s">
        <v>774</v>
      </c>
      <c r="AT74" s="221" t="s">
        <v>775</v>
      </c>
      <c r="AU74" s="221">
        <v>2019</v>
      </c>
      <c r="AV74" s="221" t="s">
        <v>830</v>
      </c>
    </row>
    <row r="75" spans="3:48" x14ac:dyDescent="0.2">
      <c r="C75" s="238" t="s">
        <v>13</v>
      </c>
      <c r="N75" s="203" t="s">
        <v>370</v>
      </c>
      <c r="O75" s="205">
        <v>2311000</v>
      </c>
      <c r="AM75" s="221" t="s">
        <v>683</v>
      </c>
      <c r="AN75" s="221" t="s">
        <v>468</v>
      </c>
      <c r="AO75" s="221" t="s">
        <v>1412</v>
      </c>
      <c r="AP75" s="345" t="s">
        <v>1254</v>
      </c>
      <c r="AQ75" s="221" t="s">
        <v>805</v>
      </c>
      <c r="AR75" s="221" t="s">
        <v>803</v>
      </c>
      <c r="AS75" s="221" t="s">
        <v>774</v>
      </c>
      <c r="AT75" s="221" t="s">
        <v>3</v>
      </c>
      <c r="AU75" s="221" t="s">
        <v>3</v>
      </c>
      <c r="AV75" s="221" t="s">
        <v>831</v>
      </c>
    </row>
    <row r="76" spans="3:48" x14ac:dyDescent="0.2">
      <c r="C76" s="238" t="s">
        <v>14</v>
      </c>
      <c r="N76" s="203" t="s">
        <v>371</v>
      </c>
      <c r="O76" s="205">
        <v>2318100</v>
      </c>
      <c r="AM76" s="221" t="s">
        <v>686</v>
      </c>
      <c r="AN76" s="221" t="s">
        <v>203</v>
      </c>
      <c r="AO76" s="221" t="s">
        <v>1412</v>
      </c>
      <c r="AP76" s="345" t="s">
        <v>1255</v>
      </c>
      <c r="AQ76" s="221" t="s">
        <v>92</v>
      </c>
      <c r="AR76" s="221" t="s">
        <v>852</v>
      </c>
      <c r="AS76" s="221" t="s">
        <v>782</v>
      </c>
      <c r="AT76" s="221">
        <v>0</v>
      </c>
      <c r="AU76" s="221" t="s">
        <v>3</v>
      </c>
      <c r="AV76" s="221">
        <v>4</v>
      </c>
    </row>
    <row r="77" spans="3:48" x14ac:dyDescent="0.2">
      <c r="C77" s="239" t="s">
        <v>16</v>
      </c>
      <c r="N77" s="203" t="s">
        <v>372</v>
      </c>
      <c r="O77" s="205">
        <v>2321000</v>
      </c>
      <c r="AM77" s="221" t="s">
        <v>761</v>
      </c>
      <c r="AN77" s="221" t="s">
        <v>203</v>
      </c>
      <c r="AO77" s="221" t="s">
        <v>1412</v>
      </c>
      <c r="AP77" s="345" t="s">
        <v>1256</v>
      </c>
      <c r="AQ77" s="221" t="s">
        <v>92</v>
      </c>
      <c r="AR77" s="221" t="s">
        <v>826</v>
      </c>
      <c r="AS77" s="221" t="s">
        <v>782</v>
      </c>
      <c r="AT77" s="221">
        <v>0</v>
      </c>
      <c r="AU77" s="221" t="s">
        <v>3</v>
      </c>
      <c r="AV77" s="221">
        <v>36</v>
      </c>
    </row>
    <row r="78" spans="3:48" x14ac:dyDescent="0.2">
      <c r="C78" s="238" t="s">
        <v>15</v>
      </c>
      <c r="N78" s="203" t="s">
        <v>373</v>
      </c>
      <c r="O78" s="205">
        <v>2322000</v>
      </c>
      <c r="AM78" s="221" t="s">
        <v>762</v>
      </c>
      <c r="AN78" s="221" t="s">
        <v>203</v>
      </c>
      <c r="AO78" s="221" t="s">
        <v>1412</v>
      </c>
      <c r="AP78" s="345" t="s">
        <v>1257</v>
      </c>
      <c r="AQ78" s="221" t="s">
        <v>805</v>
      </c>
      <c r="AR78" s="221" t="s">
        <v>852</v>
      </c>
      <c r="AS78" s="221" t="s">
        <v>782</v>
      </c>
      <c r="AT78" s="221" t="s">
        <v>853</v>
      </c>
      <c r="AU78" s="221" t="s">
        <v>3</v>
      </c>
      <c r="AV78" s="221" t="s">
        <v>854</v>
      </c>
    </row>
    <row r="79" spans="3:48" x14ac:dyDescent="0.2">
      <c r="C79" s="238" t="s">
        <v>17</v>
      </c>
      <c r="N79" s="203" t="s">
        <v>374</v>
      </c>
      <c r="O79" s="205">
        <v>2323000</v>
      </c>
      <c r="AM79" s="237" t="s">
        <v>917</v>
      </c>
      <c r="AP79" s="345" t="s">
        <v>1207</v>
      </c>
    </row>
    <row r="80" spans="3:48" x14ac:dyDescent="0.2">
      <c r="C80" s="238" t="s">
        <v>18</v>
      </c>
      <c r="N80" s="203" t="s">
        <v>375</v>
      </c>
      <c r="O80" s="205">
        <v>2324000</v>
      </c>
      <c r="AM80" s="221" t="s">
        <v>691</v>
      </c>
      <c r="AN80" s="221" t="s">
        <v>468</v>
      </c>
      <c r="AO80" s="221" t="s">
        <v>1413</v>
      </c>
      <c r="AP80" s="345" t="s">
        <v>1258</v>
      </c>
      <c r="AQ80" s="221" t="s">
        <v>805</v>
      </c>
      <c r="AR80" s="221" t="s">
        <v>803</v>
      </c>
      <c r="AS80" s="221" t="s">
        <v>774</v>
      </c>
      <c r="AT80" s="221" t="s">
        <v>775</v>
      </c>
      <c r="AU80" s="221">
        <v>2019</v>
      </c>
      <c r="AV80" s="221" t="s">
        <v>809</v>
      </c>
    </row>
    <row r="81" spans="3:48" x14ac:dyDescent="0.2">
      <c r="C81" s="238" t="s">
        <v>19</v>
      </c>
      <c r="N81" s="203" t="s">
        <v>376</v>
      </c>
      <c r="O81" s="205">
        <v>2325000</v>
      </c>
      <c r="AM81" s="221" t="s">
        <v>692</v>
      </c>
      <c r="AN81" s="221" t="s">
        <v>468</v>
      </c>
      <c r="AO81" s="221" t="s">
        <v>1413</v>
      </c>
      <c r="AP81" s="345" t="s">
        <v>1259</v>
      </c>
      <c r="AQ81" s="221" t="s">
        <v>805</v>
      </c>
      <c r="AR81" s="221" t="s">
        <v>803</v>
      </c>
      <c r="AS81" s="221" t="s">
        <v>774</v>
      </c>
      <c r="AT81" s="221" t="s">
        <v>833</v>
      </c>
      <c r="AU81" s="221">
        <v>2019</v>
      </c>
      <c r="AV81" s="221" t="s">
        <v>809</v>
      </c>
    </row>
    <row r="82" spans="3:48" x14ac:dyDescent="0.2">
      <c r="C82" s="238" t="s">
        <v>20</v>
      </c>
      <c r="N82" s="203" t="s">
        <v>377</v>
      </c>
      <c r="O82" s="205">
        <v>2326000</v>
      </c>
      <c r="AM82" s="221" t="s">
        <v>693</v>
      </c>
      <c r="AN82" s="221" t="s">
        <v>468</v>
      </c>
      <c r="AO82" s="221" t="s">
        <v>1413</v>
      </c>
      <c r="AP82" s="345" t="s">
        <v>1260</v>
      </c>
      <c r="AQ82" s="221" t="s">
        <v>805</v>
      </c>
      <c r="AR82" s="221" t="s">
        <v>803</v>
      </c>
      <c r="AS82" s="221" t="s">
        <v>774</v>
      </c>
      <c r="AT82" s="221" t="s">
        <v>833</v>
      </c>
      <c r="AU82" s="221">
        <v>2019</v>
      </c>
      <c r="AV82" s="221" t="s">
        <v>810</v>
      </c>
    </row>
    <row r="83" spans="3:48" x14ac:dyDescent="0.2">
      <c r="C83" s="238" t="s">
        <v>21</v>
      </c>
      <c r="N83" s="203" t="s">
        <v>378</v>
      </c>
      <c r="O83" s="205">
        <v>2327000</v>
      </c>
      <c r="AM83" s="221" t="s">
        <v>694</v>
      </c>
      <c r="AN83" s="221" t="s">
        <v>468</v>
      </c>
      <c r="AO83" s="221" t="s">
        <v>1413</v>
      </c>
      <c r="AP83" s="345" t="s">
        <v>1261</v>
      </c>
      <c r="AQ83" s="221" t="s">
        <v>805</v>
      </c>
      <c r="AR83" s="221" t="s">
        <v>803</v>
      </c>
      <c r="AS83" s="221" t="s">
        <v>774</v>
      </c>
      <c r="AT83" s="221" t="s">
        <v>833</v>
      </c>
      <c r="AU83" s="221">
        <v>2019</v>
      </c>
      <c r="AV83" s="221" t="s">
        <v>809</v>
      </c>
    </row>
    <row r="84" spans="3:48" x14ac:dyDescent="0.2">
      <c r="C84" s="238" t="s">
        <v>22</v>
      </c>
      <c r="N84" s="203" t="s">
        <v>379</v>
      </c>
      <c r="O84" s="205">
        <v>2341000</v>
      </c>
      <c r="AM84" s="221" t="s">
        <v>695</v>
      </c>
      <c r="AN84" s="221" t="s">
        <v>203</v>
      </c>
      <c r="AO84" s="221" t="s">
        <v>1412</v>
      </c>
      <c r="AP84" s="345" t="s">
        <v>1262</v>
      </c>
      <c r="AQ84" s="221" t="s">
        <v>92</v>
      </c>
      <c r="AR84" s="221" t="s">
        <v>811</v>
      </c>
      <c r="AS84" s="221" t="s">
        <v>782</v>
      </c>
      <c r="AT84" s="221">
        <v>0</v>
      </c>
      <c r="AU84" s="221" t="s">
        <v>3</v>
      </c>
      <c r="AV84" s="221">
        <v>10</v>
      </c>
    </row>
    <row r="85" spans="3:48" x14ac:dyDescent="0.2">
      <c r="C85" s="238" t="s">
        <v>23</v>
      </c>
      <c r="N85" s="202" t="s">
        <v>198</v>
      </c>
      <c r="O85" s="205"/>
      <c r="AM85" s="221" t="s">
        <v>696</v>
      </c>
      <c r="AN85" s="221" t="s">
        <v>203</v>
      </c>
      <c r="AO85" s="221" t="s">
        <v>1412</v>
      </c>
      <c r="AP85" s="345" t="s">
        <v>1263</v>
      </c>
      <c r="AQ85" s="221" t="s">
        <v>92</v>
      </c>
      <c r="AR85" s="221" t="s">
        <v>812</v>
      </c>
      <c r="AS85" s="221" t="s">
        <v>782</v>
      </c>
      <c r="AT85" s="221">
        <v>0</v>
      </c>
      <c r="AU85" s="221" t="s">
        <v>3</v>
      </c>
      <c r="AV85" s="221">
        <v>10</v>
      </c>
    </row>
    <row r="86" spans="3:48" x14ac:dyDescent="0.2">
      <c r="C86" s="238" t="s">
        <v>24</v>
      </c>
      <c r="N86" s="203" t="s">
        <v>380</v>
      </c>
      <c r="O86" s="205">
        <v>2501000</v>
      </c>
      <c r="AM86" s="221" t="s">
        <v>697</v>
      </c>
      <c r="AN86" s="221" t="s">
        <v>203</v>
      </c>
      <c r="AO86" s="221" t="s">
        <v>1412</v>
      </c>
      <c r="AP86" s="345" t="s">
        <v>1264</v>
      </c>
      <c r="AQ86" s="221" t="s">
        <v>92</v>
      </c>
      <c r="AR86" s="221" t="s">
        <v>813</v>
      </c>
      <c r="AS86" s="221" t="s">
        <v>782</v>
      </c>
      <c r="AT86" s="221">
        <v>0</v>
      </c>
      <c r="AU86" s="221" t="s">
        <v>3</v>
      </c>
      <c r="AV86" s="221">
        <v>25</v>
      </c>
    </row>
    <row r="87" spans="3:48" x14ac:dyDescent="0.2">
      <c r="C87" s="238" t="s">
        <v>25</v>
      </c>
      <c r="N87" s="203" t="s">
        <v>381</v>
      </c>
      <c r="O87" s="205">
        <v>3218200</v>
      </c>
      <c r="AM87" s="221" t="s">
        <v>698</v>
      </c>
      <c r="AN87" s="221" t="s">
        <v>203</v>
      </c>
      <c r="AO87" s="221" t="s">
        <v>1412</v>
      </c>
      <c r="AP87" s="345" t="s">
        <v>1265</v>
      </c>
      <c r="AQ87" s="221" t="s">
        <v>92</v>
      </c>
      <c r="AR87" s="221" t="s">
        <v>813</v>
      </c>
      <c r="AS87" s="221" t="s">
        <v>782</v>
      </c>
      <c r="AT87" s="221">
        <v>0</v>
      </c>
      <c r="AU87" s="221" t="s">
        <v>3</v>
      </c>
      <c r="AV87" s="221">
        <v>79</v>
      </c>
    </row>
    <row r="88" spans="3:48" x14ac:dyDescent="0.2">
      <c r="C88" s="238" t="s">
        <v>26</v>
      </c>
      <c r="N88" s="203" t="s">
        <v>382</v>
      </c>
      <c r="O88" s="205">
        <v>3218201</v>
      </c>
      <c r="AM88" s="221" t="s">
        <v>699</v>
      </c>
      <c r="AN88" s="221" t="s">
        <v>203</v>
      </c>
      <c r="AO88" s="221" t="s">
        <v>1412</v>
      </c>
      <c r="AP88" s="345" t="s">
        <v>1266</v>
      </c>
      <c r="AQ88" s="221" t="s">
        <v>92</v>
      </c>
      <c r="AR88" s="221" t="s">
        <v>814</v>
      </c>
      <c r="AS88" s="221" t="s">
        <v>782</v>
      </c>
      <c r="AT88" s="221">
        <v>0</v>
      </c>
      <c r="AU88" s="221" t="s">
        <v>3</v>
      </c>
      <c r="AV88" s="221">
        <v>4</v>
      </c>
    </row>
    <row r="89" spans="3:48" x14ac:dyDescent="0.2">
      <c r="N89" s="203" t="s">
        <v>383</v>
      </c>
      <c r="O89" s="205">
        <v>3218202</v>
      </c>
      <c r="AM89" s="237" t="s">
        <v>918</v>
      </c>
      <c r="AP89" s="345" t="s">
        <v>1207</v>
      </c>
    </row>
    <row r="90" spans="3:48" x14ac:dyDescent="0.2">
      <c r="N90" s="203" t="s">
        <v>384</v>
      </c>
      <c r="O90" s="205">
        <v>3218203</v>
      </c>
      <c r="AM90" s="221" t="s">
        <v>700</v>
      </c>
      <c r="AN90" s="221" t="s">
        <v>468</v>
      </c>
      <c r="AO90" s="221" t="s">
        <v>1413</v>
      </c>
      <c r="AP90" s="345" t="s">
        <v>1267</v>
      </c>
      <c r="AQ90" s="221" t="s">
        <v>92</v>
      </c>
      <c r="AR90" s="221" t="s">
        <v>811</v>
      </c>
      <c r="AS90" s="221" t="s">
        <v>774</v>
      </c>
      <c r="AT90" s="221">
        <v>0</v>
      </c>
      <c r="AU90" s="221">
        <v>2017</v>
      </c>
      <c r="AV90" s="221">
        <v>700</v>
      </c>
    </row>
    <row r="91" spans="3:48" x14ac:dyDescent="0.2">
      <c r="N91" s="202" t="s">
        <v>429</v>
      </c>
      <c r="AM91" s="221" t="s">
        <v>729</v>
      </c>
      <c r="AN91" s="221" t="s">
        <v>468</v>
      </c>
      <c r="AO91" s="221" t="s">
        <v>1413</v>
      </c>
      <c r="AP91" s="345" t="s">
        <v>1268</v>
      </c>
      <c r="AQ91" s="221" t="s">
        <v>805</v>
      </c>
      <c r="AR91" s="221" t="s">
        <v>811</v>
      </c>
      <c r="AS91" s="221" t="s">
        <v>774</v>
      </c>
      <c r="AT91" s="221" t="s">
        <v>775</v>
      </c>
      <c r="AU91" s="221" t="s">
        <v>3</v>
      </c>
      <c r="AV91" s="221" t="s">
        <v>810</v>
      </c>
    </row>
    <row r="92" spans="3:48" x14ac:dyDescent="0.2">
      <c r="N92" s="203" t="s">
        <v>385</v>
      </c>
      <c r="O92" s="205">
        <v>4101000</v>
      </c>
      <c r="AM92" s="221" t="s">
        <v>701</v>
      </c>
      <c r="AN92" s="221" t="s">
        <v>203</v>
      </c>
      <c r="AO92" s="221" t="s">
        <v>1412</v>
      </c>
      <c r="AP92" s="345" t="s">
        <v>1269</v>
      </c>
      <c r="AQ92" s="221" t="s">
        <v>92</v>
      </c>
      <c r="AR92" s="221" t="s">
        <v>815</v>
      </c>
      <c r="AS92" s="221" t="s">
        <v>782</v>
      </c>
      <c r="AT92" s="221">
        <v>0</v>
      </c>
      <c r="AU92" s="221" t="s">
        <v>3</v>
      </c>
      <c r="AV92" s="221">
        <v>10</v>
      </c>
    </row>
    <row r="93" spans="3:48" x14ac:dyDescent="0.2">
      <c r="N93" s="203" t="s">
        <v>386</v>
      </c>
      <c r="O93" s="205">
        <v>4101001</v>
      </c>
      <c r="AM93" s="221" t="s">
        <v>702</v>
      </c>
      <c r="AN93" s="221" t="s">
        <v>203</v>
      </c>
      <c r="AO93" s="221" t="s">
        <v>1412</v>
      </c>
      <c r="AP93" s="345" t="s">
        <v>1270</v>
      </c>
      <c r="AQ93" s="221" t="s">
        <v>92</v>
      </c>
      <c r="AR93" s="221" t="s">
        <v>816</v>
      </c>
      <c r="AS93" s="221" t="s">
        <v>782</v>
      </c>
      <c r="AT93" s="221">
        <v>0</v>
      </c>
      <c r="AU93" s="221" t="s">
        <v>3</v>
      </c>
      <c r="AV93" s="221">
        <v>35</v>
      </c>
    </row>
    <row r="94" spans="3:48" x14ac:dyDescent="0.2">
      <c r="N94" s="203" t="s">
        <v>387</v>
      </c>
      <c r="O94" s="205">
        <v>4101002</v>
      </c>
      <c r="AM94" s="221" t="s">
        <v>703</v>
      </c>
      <c r="AN94" s="221" t="s">
        <v>203</v>
      </c>
      <c r="AO94" s="221" t="s">
        <v>1412</v>
      </c>
      <c r="AP94" s="345" t="s">
        <v>1271</v>
      </c>
      <c r="AQ94" s="221" t="s">
        <v>92</v>
      </c>
      <c r="AR94" s="221" t="s">
        <v>816</v>
      </c>
      <c r="AS94" s="221" t="s">
        <v>782</v>
      </c>
      <c r="AT94" s="221">
        <v>0</v>
      </c>
      <c r="AU94" s="221" t="s">
        <v>3</v>
      </c>
      <c r="AV94" s="221">
        <v>200</v>
      </c>
    </row>
    <row r="95" spans="3:48" x14ac:dyDescent="0.2">
      <c r="N95" s="203" t="s">
        <v>388</v>
      </c>
      <c r="O95" s="205">
        <v>4101003</v>
      </c>
      <c r="AM95" s="221" t="s">
        <v>704</v>
      </c>
      <c r="AN95" s="221" t="s">
        <v>203</v>
      </c>
      <c r="AO95" s="221" t="s">
        <v>1412</v>
      </c>
      <c r="AP95" s="345" t="s">
        <v>1272</v>
      </c>
      <c r="AQ95" s="221" t="s">
        <v>92</v>
      </c>
      <c r="AR95" s="221" t="s">
        <v>816</v>
      </c>
      <c r="AS95" s="221" t="s">
        <v>782</v>
      </c>
      <c r="AT95" s="221">
        <v>0</v>
      </c>
      <c r="AU95" s="221" t="s">
        <v>3</v>
      </c>
      <c r="AV95" s="221">
        <v>43</v>
      </c>
    </row>
    <row r="96" spans="3:48" x14ac:dyDescent="0.2">
      <c r="N96" s="203" t="s">
        <v>389</v>
      </c>
      <c r="O96" s="205">
        <v>4101004</v>
      </c>
      <c r="AM96" s="221" t="s">
        <v>1197</v>
      </c>
      <c r="AN96" s="221" t="s">
        <v>203</v>
      </c>
      <c r="AO96" s="221" t="s">
        <v>1412</v>
      </c>
      <c r="AP96" s="345" t="s">
        <v>1273</v>
      </c>
      <c r="AQ96" s="221" t="s">
        <v>92</v>
      </c>
      <c r="AR96" s="221" t="s">
        <v>811</v>
      </c>
      <c r="AS96" s="221" t="s">
        <v>782</v>
      </c>
      <c r="AT96" s="221">
        <v>0</v>
      </c>
      <c r="AU96" s="221" t="s">
        <v>3</v>
      </c>
      <c r="AV96" s="221">
        <v>15</v>
      </c>
    </row>
    <row r="97" spans="14:48" x14ac:dyDescent="0.2">
      <c r="N97" s="203" t="s">
        <v>390</v>
      </c>
      <c r="O97" s="205">
        <v>4101005</v>
      </c>
      <c r="AM97" s="221" t="s">
        <v>1198</v>
      </c>
      <c r="AN97" s="221" t="s">
        <v>203</v>
      </c>
      <c r="AO97" s="221" t="s">
        <v>1412</v>
      </c>
      <c r="AP97" s="345" t="s">
        <v>1274</v>
      </c>
      <c r="AQ97" s="221" t="s">
        <v>92</v>
      </c>
      <c r="AR97" s="221" t="s">
        <v>811</v>
      </c>
      <c r="AS97" s="221" t="s">
        <v>782</v>
      </c>
      <c r="AT97" s="221">
        <v>0</v>
      </c>
      <c r="AU97" s="221" t="s">
        <v>3</v>
      </c>
      <c r="AV97" s="221">
        <v>50</v>
      </c>
    </row>
    <row r="98" spans="14:48" x14ac:dyDescent="0.2">
      <c r="N98" s="203" t="s">
        <v>391</v>
      </c>
      <c r="O98" s="205">
        <v>4101006</v>
      </c>
      <c r="AM98" s="221" t="s">
        <v>705</v>
      </c>
      <c r="AN98" s="221" t="s">
        <v>203</v>
      </c>
      <c r="AO98" s="221" t="s">
        <v>1412</v>
      </c>
      <c r="AP98" s="345" t="s">
        <v>1275</v>
      </c>
      <c r="AQ98" s="221" t="s">
        <v>92</v>
      </c>
      <c r="AR98" s="221" t="s">
        <v>811</v>
      </c>
      <c r="AS98" s="221" t="s">
        <v>782</v>
      </c>
      <c r="AT98" s="221">
        <v>0</v>
      </c>
      <c r="AU98" s="221" t="s">
        <v>3</v>
      </c>
      <c r="AV98" s="221">
        <v>43</v>
      </c>
    </row>
    <row r="99" spans="14:48" x14ac:dyDescent="0.2">
      <c r="N99" s="203" t="s">
        <v>392</v>
      </c>
      <c r="O99" s="205">
        <v>4102001</v>
      </c>
      <c r="AM99" s="221" t="s">
        <v>706</v>
      </c>
      <c r="AN99" s="221" t="s">
        <v>203</v>
      </c>
      <c r="AO99" s="221" t="s">
        <v>1412</v>
      </c>
      <c r="AP99" s="345" t="s">
        <v>1276</v>
      </c>
      <c r="AQ99" s="221" t="s">
        <v>92</v>
      </c>
      <c r="AR99" s="221" t="s">
        <v>816</v>
      </c>
      <c r="AS99" s="221" t="s">
        <v>782</v>
      </c>
      <c r="AT99" s="221">
        <v>0</v>
      </c>
      <c r="AU99" s="221" t="s">
        <v>3</v>
      </c>
      <c r="AV99" s="221">
        <v>2</v>
      </c>
    </row>
    <row r="100" spans="14:48" x14ac:dyDescent="0.2">
      <c r="N100" s="203" t="s">
        <v>393</v>
      </c>
      <c r="O100" s="205">
        <v>4102004</v>
      </c>
      <c r="AM100" s="221" t="s">
        <v>707</v>
      </c>
      <c r="AN100" s="221" t="s">
        <v>203</v>
      </c>
      <c r="AO100" s="221" t="s">
        <v>1412</v>
      </c>
      <c r="AP100" s="345" t="s">
        <v>1277</v>
      </c>
      <c r="AQ100" s="221" t="s">
        <v>92</v>
      </c>
      <c r="AR100" s="221" t="s">
        <v>816</v>
      </c>
      <c r="AS100" s="221" t="s">
        <v>782</v>
      </c>
      <c r="AT100" s="221">
        <v>0</v>
      </c>
      <c r="AU100" s="221" t="s">
        <v>3</v>
      </c>
      <c r="AV100" s="221">
        <v>1</v>
      </c>
    </row>
    <row r="101" spans="14:48" x14ac:dyDescent="0.2">
      <c r="N101" s="203" t="s">
        <v>394</v>
      </c>
      <c r="O101" s="205">
        <v>4102005</v>
      </c>
      <c r="AM101" s="221" t="s">
        <v>708</v>
      </c>
      <c r="AN101" s="221" t="s">
        <v>203</v>
      </c>
      <c r="AO101" s="221" t="s">
        <v>1412</v>
      </c>
      <c r="AP101" s="345" t="s">
        <v>1278</v>
      </c>
      <c r="AQ101" s="221" t="s">
        <v>92</v>
      </c>
      <c r="AR101" s="221" t="s">
        <v>816</v>
      </c>
      <c r="AS101" s="221" t="s">
        <v>782</v>
      </c>
      <c r="AT101" s="221">
        <v>0</v>
      </c>
      <c r="AU101" s="221" t="s">
        <v>3</v>
      </c>
      <c r="AV101" s="221">
        <v>2</v>
      </c>
    </row>
    <row r="102" spans="14:48" x14ac:dyDescent="0.2">
      <c r="N102" s="203" t="s">
        <v>395</v>
      </c>
      <c r="O102" s="205">
        <v>4102006</v>
      </c>
      <c r="AM102" s="237" t="s">
        <v>919</v>
      </c>
      <c r="AP102" s="345" t="s">
        <v>1207</v>
      </c>
    </row>
    <row r="103" spans="14:48" x14ac:dyDescent="0.2">
      <c r="N103" s="203" t="s">
        <v>396</v>
      </c>
      <c r="O103" s="205">
        <v>4102007</v>
      </c>
      <c r="AM103" s="221" t="s">
        <v>709</v>
      </c>
      <c r="AN103" s="221" t="s">
        <v>468</v>
      </c>
      <c r="AO103" s="221" t="s">
        <v>1413</v>
      </c>
      <c r="AP103" s="345" t="s">
        <v>1279</v>
      </c>
      <c r="AQ103" s="221" t="s">
        <v>772</v>
      </c>
      <c r="AR103" s="221" t="s">
        <v>817</v>
      </c>
      <c r="AS103" s="221" t="s">
        <v>774</v>
      </c>
      <c r="AT103" s="221">
        <v>708</v>
      </c>
      <c r="AU103" s="221">
        <v>2017</v>
      </c>
      <c r="AV103" s="221">
        <v>800</v>
      </c>
    </row>
    <row r="104" spans="14:48" x14ac:dyDescent="0.2">
      <c r="N104" s="203" t="s">
        <v>397</v>
      </c>
      <c r="O104" s="205">
        <v>4103000</v>
      </c>
      <c r="AM104" s="221" t="s">
        <v>710</v>
      </c>
      <c r="AN104" s="221" t="s">
        <v>468</v>
      </c>
      <c r="AO104" s="221" t="s">
        <v>1413</v>
      </c>
      <c r="AP104" s="345" t="s">
        <v>1280</v>
      </c>
      <c r="AQ104" s="221" t="s">
        <v>818</v>
      </c>
      <c r="AR104" s="221" t="s">
        <v>803</v>
      </c>
      <c r="AS104" s="221" t="s">
        <v>820</v>
      </c>
      <c r="AT104" s="221" t="s">
        <v>775</v>
      </c>
      <c r="AU104" s="221">
        <v>2019</v>
      </c>
      <c r="AV104" s="221" t="s">
        <v>821</v>
      </c>
    </row>
    <row r="105" spans="14:48" x14ac:dyDescent="0.2">
      <c r="N105" s="203" t="s">
        <v>398</v>
      </c>
      <c r="O105" s="205">
        <v>4103001</v>
      </c>
      <c r="AM105" s="221" t="s">
        <v>711</v>
      </c>
      <c r="AN105" s="221" t="s">
        <v>203</v>
      </c>
      <c r="AO105" s="221" t="s">
        <v>1412</v>
      </c>
      <c r="AP105" s="345" t="s">
        <v>1281</v>
      </c>
      <c r="AQ105" s="221" t="s">
        <v>92</v>
      </c>
      <c r="AR105" s="221" t="s">
        <v>822</v>
      </c>
      <c r="AS105" s="221" t="s">
        <v>782</v>
      </c>
      <c r="AT105" s="221">
        <v>0</v>
      </c>
      <c r="AU105" s="221" t="s">
        <v>3</v>
      </c>
      <c r="AV105" s="221">
        <v>7</v>
      </c>
    </row>
    <row r="106" spans="14:48" x14ac:dyDescent="0.2">
      <c r="N106" s="203" t="s">
        <v>399</v>
      </c>
      <c r="O106" s="205">
        <v>4105000</v>
      </c>
      <c r="AM106" s="221" t="s">
        <v>712</v>
      </c>
      <c r="AN106" s="221" t="s">
        <v>203</v>
      </c>
      <c r="AO106" s="221" t="s">
        <v>1412</v>
      </c>
      <c r="AP106" s="345" t="s">
        <v>1282</v>
      </c>
      <c r="AQ106" s="221" t="s">
        <v>823</v>
      </c>
      <c r="AR106" s="221" t="s">
        <v>824</v>
      </c>
      <c r="AS106" s="221" t="s">
        <v>782</v>
      </c>
      <c r="AT106" s="221" t="s">
        <v>503</v>
      </c>
      <c r="AU106" s="221" t="s">
        <v>3</v>
      </c>
      <c r="AV106" s="221" t="s">
        <v>502</v>
      </c>
    </row>
    <row r="107" spans="14:48" x14ac:dyDescent="0.2">
      <c r="N107" s="203" t="s">
        <v>400</v>
      </c>
      <c r="O107" s="205">
        <v>4105801</v>
      </c>
      <c r="AM107" s="221" t="s">
        <v>713</v>
      </c>
      <c r="AN107" s="221" t="s">
        <v>203</v>
      </c>
      <c r="AO107" s="221" t="s">
        <v>1412</v>
      </c>
      <c r="AP107" s="345" t="s">
        <v>1283</v>
      </c>
      <c r="AQ107" s="221" t="s">
        <v>92</v>
      </c>
      <c r="AR107" s="221" t="s">
        <v>825</v>
      </c>
      <c r="AS107" s="221" t="s">
        <v>782</v>
      </c>
      <c r="AT107" s="221">
        <v>0</v>
      </c>
      <c r="AU107" s="221" t="s">
        <v>3</v>
      </c>
      <c r="AV107" s="221">
        <v>1</v>
      </c>
    </row>
    <row r="108" spans="14:48" x14ac:dyDescent="0.2">
      <c r="N108" s="203" t="s">
        <v>401</v>
      </c>
      <c r="O108" s="205">
        <v>4108100</v>
      </c>
      <c r="AM108" s="221" t="s">
        <v>714</v>
      </c>
      <c r="AN108" s="221" t="s">
        <v>203</v>
      </c>
      <c r="AO108" s="221" t="s">
        <v>1412</v>
      </c>
      <c r="AP108" s="345" t="s">
        <v>1284</v>
      </c>
      <c r="AQ108" s="221" t="s">
        <v>92</v>
      </c>
      <c r="AR108" s="221" t="s">
        <v>826</v>
      </c>
      <c r="AS108" s="221" t="s">
        <v>782</v>
      </c>
      <c r="AT108" s="221">
        <v>0</v>
      </c>
      <c r="AU108" s="221" t="s">
        <v>3</v>
      </c>
      <c r="AV108" s="221">
        <v>47</v>
      </c>
    </row>
    <row r="109" spans="14:48" x14ac:dyDescent="0.2">
      <c r="N109" s="202" t="s">
        <v>430</v>
      </c>
      <c r="AM109" s="221" t="s">
        <v>715</v>
      </c>
      <c r="AN109" s="221" t="s">
        <v>203</v>
      </c>
      <c r="AO109" s="221" t="s">
        <v>1412</v>
      </c>
      <c r="AP109" s="345" t="s">
        <v>1285</v>
      </c>
      <c r="AQ109" s="221" t="s">
        <v>92</v>
      </c>
      <c r="AR109" s="221" t="s">
        <v>827</v>
      </c>
      <c r="AS109" s="221" t="s">
        <v>782</v>
      </c>
      <c r="AT109" s="221">
        <v>0</v>
      </c>
      <c r="AU109" s="221" t="s">
        <v>3</v>
      </c>
      <c r="AV109" s="221">
        <v>270</v>
      </c>
    </row>
    <row r="110" spans="14:48" x14ac:dyDescent="0.2">
      <c r="N110" s="203" t="s">
        <v>402</v>
      </c>
      <c r="O110" s="205">
        <v>1118200</v>
      </c>
      <c r="AM110" s="221" t="s">
        <v>716</v>
      </c>
      <c r="AN110" s="221" t="s">
        <v>203</v>
      </c>
      <c r="AO110" s="221" t="s">
        <v>1412</v>
      </c>
      <c r="AP110" s="345" t="s">
        <v>1286</v>
      </c>
      <c r="AQ110" s="221" t="s">
        <v>92</v>
      </c>
      <c r="AR110" s="221" t="s">
        <v>828</v>
      </c>
      <c r="AS110" s="221" t="s">
        <v>782</v>
      </c>
      <c r="AT110" s="221">
        <v>0</v>
      </c>
      <c r="AU110" s="221" t="s">
        <v>3</v>
      </c>
      <c r="AV110" s="221">
        <v>1</v>
      </c>
    </row>
    <row r="111" spans="14:48" x14ac:dyDescent="0.2">
      <c r="N111" s="203" t="s">
        <v>403</v>
      </c>
      <c r="O111" s="205">
        <v>1218200</v>
      </c>
      <c r="AM111" s="221" t="s">
        <v>717</v>
      </c>
      <c r="AN111" s="221" t="s">
        <v>203</v>
      </c>
      <c r="AO111" s="221" t="s">
        <v>1412</v>
      </c>
      <c r="AP111" s="345" t="s">
        <v>1287</v>
      </c>
      <c r="AQ111" s="221" t="s">
        <v>92</v>
      </c>
      <c r="AR111" s="221" t="s">
        <v>829</v>
      </c>
      <c r="AS111" s="221" t="s">
        <v>782</v>
      </c>
      <c r="AT111" s="221">
        <v>0</v>
      </c>
      <c r="AU111" s="221" t="s">
        <v>3</v>
      </c>
      <c r="AV111" s="221">
        <v>10</v>
      </c>
    </row>
    <row r="112" spans="14:48" x14ac:dyDescent="0.2">
      <c r="N112" s="203" t="s">
        <v>404</v>
      </c>
      <c r="O112" s="205">
        <v>2318200</v>
      </c>
      <c r="AM112" s="221" t="s">
        <v>718</v>
      </c>
      <c r="AN112" s="221" t="s">
        <v>203</v>
      </c>
      <c r="AO112" s="221" t="s">
        <v>1412</v>
      </c>
      <c r="AP112" s="345" t="s">
        <v>1288</v>
      </c>
      <c r="AQ112" s="221" t="s">
        <v>92</v>
      </c>
      <c r="AR112" s="221" t="s">
        <v>829</v>
      </c>
      <c r="AS112" s="221" t="s">
        <v>782</v>
      </c>
      <c r="AT112" s="221">
        <v>0</v>
      </c>
      <c r="AU112" s="221" t="s">
        <v>3</v>
      </c>
      <c r="AV112" s="221">
        <v>8</v>
      </c>
    </row>
    <row r="113" spans="14:48" x14ac:dyDescent="0.2">
      <c r="N113" s="203" t="s">
        <v>405</v>
      </c>
      <c r="O113" s="205">
        <v>3118200</v>
      </c>
      <c r="AM113" s="237" t="s">
        <v>1324</v>
      </c>
      <c r="AP113" s="345" t="s">
        <v>1207</v>
      </c>
    </row>
    <row r="114" spans="14:48" x14ac:dyDescent="0.2">
      <c r="N114" s="203" t="s">
        <v>406</v>
      </c>
      <c r="O114" s="205">
        <v>3128200</v>
      </c>
      <c r="AM114" s="221" t="s">
        <v>719</v>
      </c>
      <c r="AN114" s="221" t="s">
        <v>468</v>
      </c>
      <c r="AO114" s="221" t="s">
        <v>1413</v>
      </c>
      <c r="AP114" s="345" t="s">
        <v>1289</v>
      </c>
      <c r="AQ114" s="221" t="s">
        <v>802</v>
      </c>
      <c r="AR114" s="221" t="s">
        <v>803</v>
      </c>
      <c r="AS114" s="221" t="s">
        <v>774</v>
      </c>
      <c r="AT114" s="221" t="s">
        <v>775</v>
      </c>
      <c r="AU114" s="221">
        <v>2018</v>
      </c>
      <c r="AV114" s="221" t="s">
        <v>830</v>
      </c>
    </row>
    <row r="115" spans="14:48" x14ac:dyDescent="0.2">
      <c r="N115" s="203" t="s">
        <v>407</v>
      </c>
      <c r="O115" s="205">
        <v>3138200</v>
      </c>
      <c r="AM115" s="221" t="s">
        <v>720</v>
      </c>
      <c r="AN115" s="221" t="s">
        <v>468</v>
      </c>
      <c r="AO115" s="221" t="s">
        <v>1413</v>
      </c>
      <c r="AP115" s="345" t="s">
        <v>1290</v>
      </c>
      <c r="AQ115" s="221" t="s">
        <v>802</v>
      </c>
      <c r="AR115" s="221" t="s">
        <v>803</v>
      </c>
      <c r="AS115" s="221" t="s">
        <v>774</v>
      </c>
      <c r="AT115" s="221" t="s">
        <v>834</v>
      </c>
      <c r="AU115" s="221">
        <v>2018</v>
      </c>
      <c r="AV115" s="221" t="s">
        <v>830</v>
      </c>
    </row>
    <row r="116" spans="14:48" x14ac:dyDescent="0.2">
      <c r="N116" s="203" t="s">
        <v>408</v>
      </c>
      <c r="O116" s="205">
        <v>4108200</v>
      </c>
      <c r="AM116" s="221" t="s">
        <v>721</v>
      </c>
      <c r="AN116" s="221" t="s">
        <v>203</v>
      </c>
      <c r="AO116" s="221" t="s">
        <v>1412</v>
      </c>
      <c r="AP116" s="345" t="s">
        <v>1291</v>
      </c>
      <c r="AQ116" s="221" t="s">
        <v>92</v>
      </c>
      <c r="AR116" s="221" t="s">
        <v>811</v>
      </c>
      <c r="AS116" s="221" t="s">
        <v>774</v>
      </c>
      <c r="AT116" s="221">
        <v>1</v>
      </c>
      <c r="AU116" s="221">
        <v>2017</v>
      </c>
      <c r="AV116" s="221">
        <v>3</v>
      </c>
    </row>
    <row r="117" spans="14:48" x14ac:dyDescent="0.2">
      <c r="N117" s="203" t="s">
        <v>409</v>
      </c>
      <c r="O117" s="205">
        <v>4308200</v>
      </c>
      <c r="AM117" s="221" t="s">
        <v>722</v>
      </c>
      <c r="AN117" s="221" t="s">
        <v>203</v>
      </c>
      <c r="AO117" s="221" t="s">
        <v>1412</v>
      </c>
      <c r="AP117" s="345" t="s">
        <v>1292</v>
      </c>
      <c r="AQ117" s="221" t="s">
        <v>805</v>
      </c>
      <c r="AR117" s="221" t="s">
        <v>803</v>
      </c>
      <c r="AS117" s="221" t="s">
        <v>774</v>
      </c>
      <c r="AT117" s="221" t="s">
        <v>3</v>
      </c>
      <c r="AU117" s="221" t="s">
        <v>3</v>
      </c>
      <c r="AV117" s="221" t="s">
        <v>831</v>
      </c>
    </row>
    <row r="118" spans="14:48" x14ac:dyDescent="0.2">
      <c r="N118" s="203" t="s">
        <v>410</v>
      </c>
      <c r="O118" s="205">
        <v>4308201</v>
      </c>
      <c r="AM118" s="221" t="s">
        <v>686</v>
      </c>
      <c r="AN118" s="221" t="s">
        <v>203</v>
      </c>
      <c r="AO118" s="221" t="s">
        <v>1412</v>
      </c>
      <c r="AP118" s="345" t="s">
        <v>1293</v>
      </c>
      <c r="AQ118" s="221" t="s">
        <v>92</v>
      </c>
      <c r="AR118" s="221" t="s">
        <v>832</v>
      </c>
      <c r="AS118" s="221" t="s">
        <v>782</v>
      </c>
      <c r="AT118" s="221">
        <v>0</v>
      </c>
      <c r="AU118" s="221" t="s">
        <v>3</v>
      </c>
      <c r="AV118" s="221">
        <v>4</v>
      </c>
    </row>
    <row r="119" spans="14:48" x14ac:dyDescent="0.2">
      <c r="N119" s="203" t="s">
        <v>411</v>
      </c>
      <c r="O119" s="205">
        <v>4308202</v>
      </c>
      <c r="AM119" s="221" t="s">
        <v>723</v>
      </c>
      <c r="AN119" s="221" t="s">
        <v>203</v>
      </c>
      <c r="AO119" s="221" t="s">
        <v>1412</v>
      </c>
      <c r="AP119" s="345" t="s">
        <v>1294</v>
      </c>
      <c r="AQ119" s="221" t="s">
        <v>92</v>
      </c>
      <c r="AR119" s="221" t="s">
        <v>819</v>
      </c>
      <c r="AS119" s="221" t="s">
        <v>782</v>
      </c>
      <c r="AT119" s="221">
        <v>0</v>
      </c>
      <c r="AU119" s="221" t="s">
        <v>3</v>
      </c>
      <c r="AV119" s="221">
        <v>4</v>
      </c>
    </row>
    <row r="120" spans="14:48" x14ac:dyDescent="0.2">
      <c r="N120" s="203" t="s">
        <v>412</v>
      </c>
      <c r="O120" s="205">
        <v>4308203</v>
      </c>
      <c r="AM120" s="221" t="s">
        <v>724</v>
      </c>
      <c r="AN120" s="221" t="s">
        <v>203</v>
      </c>
      <c r="AO120" s="221" t="s">
        <v>1412</v>
      </c>
      <c r="AP120" s="345" t="s">
        <v>1295</v>
      </c>
      <c r="AQ120" s="221" t="s">
        <v>92</v>
      </c>
      <c r="AR120" s="221" t="s">
        <v>819</v>
      </c>
      <c r="AS120" s="221" t="s">
        <v>782</v>
      </c>
      <c r="AT120" s="221">
        <v>0</v>
      </c>
      <c r="AU120" s="221" t="s">
        <v>3</v>
      </c>
      <c r="AV120" s="221">
        <v>4</v>
      </c>
    </row>
    <row r="121" spans="14:48" x14ac:dyDescent="0.2">
      <c r="N121" s="203" t="s">
        <v>413</v>
      </c>
      <c r="O121" s="205">
        <v>4308204</v>
      </c>
      <c r="AM121" s="221" t="s">
        <v>725</v>
      </c>
      <c r="AN121" s="221" t="s">
        <v>203</v>
      </c>
      <c r="AO121" s="221" t="s">
        <v>1412</v>
      </c>
      <c r="AP121" s="345" t="s">
        <v>1296</v>
      </c>
      <c r="AQ121" s="221" t="s">
        <v>92</v>
      </c>
      <c r="AR121" s="221" t="s">
        <v>819</v>
      </c>
      <c r="AS121" s="221" t="s">
        <v>782</v>
      </c>
      <c r="AT121" s="221">
        <v>0</v>
      </c>
      <c r="AU121" s="221" t="s">
        <v>3</v>
      </c>
      <c r="AV121" s="221">
        <v>2</v>
      </c>
    </row>
    <row r="122" spans="14:48" x14ac:dyDescent="0.2">
      <c r="N122" s="203" t="s">
        <v>414</v>
      </c>
      <c r="O122" s="205">
        <v>4308205</v>
      </c>
      <c r="AM122" s="221" t="s">
        <v>726</v>
      </c>
      <c r="AN122" s="221" t="s">
        <v>203</v>
      </c>
      <c r="AO122" s="221" t="s">
        <v>1412</v>
      </c>
      <c r="AP122" s="345" t="s">
        <v>1297</v>
      </c>
      <c r="AQ122" s="221" t="s">
        <v>92</v>
      </c>
      <c r="AR122" s="221" t="s">
        <v>819</v>
      </c>
      <c r="AS122" s="221" t="s">
        <v>782</v>
      </c>
      <c r="AT122" s="221">
        <v>0</v>
      </c>
      <c r="AU122" s="221" t="s">
        <v>3</v>
      </c>
      <c r="AV122" s="221">
        <v>2</v>
      </c>
    </row>
    <row r="123" spans="14:48" x14ac:dyDescent="0.2">
      <c r="N123" s="203" t="s">
        <v>404</v>
      </c>
      <c r="O123" s="205">
        <v>4308206</v>
      </c>
      <c r="AM123" s="221" t="s">
        <v>727</v>
      </c>
      <c r="AN123" s="221" t="s">
        <v>203</v>
      </c>
      <c r="AO123" s="221" t="s">
        <v>1412</v>
      </c>
      <c r="AP123" s="345" t="s">
        <v>1298</v>
      </c>
      <c r="AQ123" s="221" t="s">
        <v>92</v>
      </c>
      <c r="AR123" s="221" t="s">
        <v>826</v>
      </c>
      <c r="AS123" s="221" t="s">
        <v>782</v>
      </c>
      <c r="AT123" s="221">
        <v>0</v>
      </c>
      <c r="AU123" s="221" t="s">
        <v>3</v>
      </c>
      <c r="AV123" s="221">
        <v>2</v>
      </c>
    </row>
    <row r="124" spans="14:48" x14ac:dyDescent="0.2">
      <c r="N124" s="203" t="s">
        <v>415</v>
      </c>
      <c r="O124" s="205">
        <v>4308208</v>
      </c>
    </row>
    <row r="125" spans="14:48" x14ac:dyDescent="0.2">
      <c r="N125" s="203" t="s">
        <v>416</v>
      </c>
      <c r="O125" s="205">
        <v>1513300</v>
      </c>
    </row>
    <row r="126" spans="14:48" x14ac:dyDescent="0.2">
      <c r="N126" s="202" t="s">
        <v>431</v>
      </c>
      <c r="O126" s="205"/>
    </row>
    <row r="127" spans="14:48" x14ac:dyDescent="0.2">
      <c r="N127" s="203" t="s">
        <v>417</v>
      </c>
      <c r="O127" s="205">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4" t="s">
        <v>1375</v>
      </c>
      <c r="B1" s="404" t="s">
        <v>1376</v>
      </c>
      <c r="C1" s="404" t="s">
        <v>1373</v>
      </c>
      <c r="D1" s="404" t="s">
        <v>1374</v>
      </c>
    </row>
    <row r="2" spans="1:4" x14ac:dyDescent="0.2">
      <c r="A2" s="435" t="s">
        <v>1401</v>
      </c>
      <c r="B2" s="436" t="b">
        <f>ISERROR(VLOOKUP(sector_specified,grant_rates_table,2,FALSE))</f>
        <v>1</v>
      </c>
      <c r="C2" s="437" t="s">
        <v>1400</v>
      </c>
      <c r="D2" s="437" t="s">
        <v>1399</v>
      </c>
    </row>
    <row r="3" spans="1:4" x14ac:dyDescent="0.2">
      <c r="A3" s="438" t="s">
        <v>1377</v>
      </c>
      <c r="B3" s="383" t="e">
        <f>project_grant_rate&gt;maximum_grant_rate</f>
        <v>#DIV/0!</v>
      </c>
      <c r="C3" s="439" t="str">
        <f>"If using cash co-financing only, you need to increase your co-financing to EUR "&amp;total_eligible_expenditure_total-ROUND(total_eligible_expenditure_total*maximum_grant_rate,0)</f>
        <v>If using cash co-financing only, you need to increase your co-financing to EUR 0</v>
      </c>
      <c r="D3" s="439"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8" t="s">
        <v>1425</v>
      </c>
      <c r="B4" s="383" t="e">
        <f>IF(AND(sector=nonprofit_sector_verification_title,sector_specified&lt;&gt;churches_verification_title,project_grant_rate&gt;maximum_grant_rate),TRUE)</f>
        <v>#DIV/0!</v>
      </c>
      <c r="C4" s="439" t="str">
        <f>"If using in-kind, in-kind cofinancing should be equal to the figure in point 5.1.17, i.e. EUR "&amp;in_kind_maximum_eur</f>
        <v>If using in-kind, in-kind cofinancing should be equal to the figure in point 5.1.17, i.e. EUR 0</v>
      </c>
      <c r="D4" s="439"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8" t="s">
        <v>1426</v>
      </c>
      <c r="B5" s="383" t="e">
        <f>IF(AND(sector=nonprofit_sector_verification_title,sector_specified&lt;&gt;churches_verification_title,maximum_in_kind_percentage=0.5,project_grant_rate&gt;maximum_grant_rate),TRUE)</f>
        <v>#DIV/0!</v>
      </c>
      <c r="C5" s="439" t="str">
        <f>"In this case, cash-cofinancing should be equal to the the same figure, i.e. EUR "&amp;in_kind_maximum_eur</f>
        <v>In this case, cash-cofinancing should be equal to the the same figure, i.e. EUR 0</v>
      </c>
      <c r="D5" s="439" t="str">
        <f>"V tomto prípade by sa peňažné spolufinancovanie malo tiež rovnať tejto hodnote, t.j. "&amp;in_kind_maximum_eur &amp; " eur."</f>
        <v>V tomto prípade by sa peňažné spolufinancovanie malo tiež rovnať tejto hodnote, t.j. 0 eur.</v>
      </c>
    </row>
    <row r="6" spans="1:4" x14ac:dyDescent="0.2">
      <c r="A6" s="438" t="s">
        <v>1378</v>
      </c>
      <c r="B6" s="383" t="b">
        <f>grant_requested_total&gt;maximum_project_grant_requested</f>
        <v>0</v>
      </c>
      <c r="C6" s="439" t="s">
        <v>1379</v>
      </c>
      <c r="D6" s="439" t="s">
        <v>1380</v>
      </c>
    </row>
    <row r="7" spans="1:4" x14ac:dyDescent="0.2">
      <c r="A7" s="438" t="s">
        <v>1381</v>
      </c>
      <c r="B7" s="383" t="b">
        <f>grant_requested_total&lt;minimum_project_grant_requested</f>
        <v>1</v>
      </c>
      <c r="C7" s="439" t="s">
        <v>1387</v>
      </c>
      <c r="D7" s="439" t="s">
        <v>1382</v>
      </c>
    </row>
    <row r="8" spans="1:4" x14ac:dyDescent="0.2">
      <c r="A8" s="438" t="s">
        <v>1383</v>
      </c>
      <c r="B8" s="383" t="b">
        <f>actual_in_kind_percentage&gt;maximum_in_kind_percentage</f>
        <v>0</v>
      </c>
      <c r="C8" s="439" t="s">
        <v>1414</v>
      </c>
      <c r="D8" s="439" t="s">
        <v>1415</v>
      </c>
    </row>
    <row r="9" spans="1:4" x14ac:dyDescent="0.2">
      <c r="A9" s="438" t="s">
        <v>1384</v>
      </c>
      <c r="B9" s="383" t="b">
        <f>reserve_total&gt;maximum_reserve</f>
        <v>0</v>
      </c>
      <c r="C9" s="439" t="s">
        <v>1388</v>
      </c>
      <c r="D9" s="439" t="s">
        <v>1385</v>
      </c>
    </row>
    <row r="10" spans="1:4" x14ac:dyDescent="0.2">
      <c r="A10" s="440"/>
      <c r="B10" s="383"/>
      <c r="C10" s="383"/>
      <c r="D10" s="383"/>
    </row>
    <row r="11" spans="1:4" x14ac:dyDescent="0.2">
      <c r="A11" s="440"/>
      <c r="B11" s="383"/>
      <c r="C11" s="383"/>
      <c r="D11" s="383"/>
    </row>
    <row r="12" spans="1:4" ht="13.5" thickBot="1" x14ac:dyDescent="0.25">
      <c r="A12" s="441"/>
      <c r="B12" s="442"/>
      <c r="C12" s="442"/>
      <c r="D12" s="44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Mojzis JaroslavX</cp:lastModifiedBy>
  <cp:lastPrinted>2019-05-20T15:59:50Z</cp:lastPrinted>
  <dcterms:created xsi:type="dcterms:W3CDTF">2005-08-12T08:07:53Z</dcterms:created>
  <dcterms:modified xsi:type="dcterms:W3CDTF">2019-07-12T08:26:48Z</dcterms:modified>
</cp:coreProperties>
</file>